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aSOj9ZJMqnE9oh4v3LWFLOdLo44nc3rU9uUmxXlcG7tjzFHl0UWlME55hiVqVzgsQ4y8gv3Euxk+g2JkyHBQRA==" workbookSaltValue="RNjEhW01kq0u5wH3+9kB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ER21" i="8"/>
  <c r="N19" i="11"/>
  <c r="AE14" i="21"/>
  <c r="AL16" i="11"/>
  <c r="EL21" i="8"/>
  <c r="EQ21" i="8"/>
  <c r="EN21" i="8"/>
  <c r="K20" i="11"/>
  <c r="BA14" i="16"/>
  <c r="N10" i="11"/>
  <c r="N9" i="11"/>
  <c r="D17" i="2"/>
  <c r="B19" i="6"/>
  <c r="ES21" i="8"/>
  <c r="G20" i="12"/>
  <c r="AQ19" i="11"/>
  <c r="AK21" i="8"/>
  <c r="EP21" i="8"/>
  <c r="ER21" i="13"/>
  <c r="AL14" i="16"/>
  <c r="EP21" i="19"/>
  <c r="S14" i="16"/>
  <c r="P14" i="16"/>
  <c r="Z14" i="17"/>
  <c r="F18" i="17"/>
  <c r="AQ18" i="17" s="1"/>
  <c r="K20" i="2"/>
  <c r="M14" i="2"/>
  <c r="N14" i="2"/>
  <c r="H12" i="2"/>
  <c r="F14" i="7"/>
  <c r="T14" i="12"/>
  <c r="BU12" i="17"/>
  <c r="T14" i="16"/>
  <c r="AZ12" i="11"/>
  <c r="X18" i="17"/>
  <c r="P16" i="17"/>
  <c r="BL16" i="11"/>
  <c r="BJ10" i="11"/>
  <c r="BH11" i="11"/>
  <c r="S18" i="17"/>
  <c r="BH12" i="16"/>
  <c r="AY20" i="8"/>
  <c r="AY14" i="8"/>
  <c r="BD9" i="8"/>
  <c r="E14" i="17"/>
  <c r="AH14" i="16"/>
  <c r="L12" i="2"/>
  <c r="L18" i="2"/>
  <c r="U9" i="17"/>
  <c r="U21" i="17" s="1"/>
  <c r="T14" i="20"/>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BF18" i="8" l="1"/>
  <c r="AE21" i="8"/>
  <c r="C14" i="7"/>
  <c r="R21" i="8"/>
  <c r="M20" i="2"/>
  <c r="N20" i="2"/>
  <c r="X12" i="21"/>
  <c r="V16" i="11"/>
  <c r="S18" i="16"/>
  <c r="BJ16" i="11"/>
  <c r="R18" i="20"/>
  <c r="R20" i="20" s="1"/>
  <c r="BU11" i="17"/>
  <c r="BU10" i="17"/>
  <c r="BV11" i="16"/>
  <c r="BW10" i="20"/>
  <c r="T9" i="11"/>
  <c r="BH11" i="16"/>
  <c r="BF13" i="11"/>
  <c r="BH16" i="11"/>
  <c r="BH19" i="16"/>
  <c r="P18" i="17"/>
  <c r="P20" i="17" s="1"/>
  <c r="P21" i="17" s="1"/>
  <c r="BK12" i="11"/>
  <c r="AO16" i="17"/>
  <c r="BL12" i="11"/>
  <c r="BK11" i="11"/>
  <c r="BI10" i="11"/>
  <c r="BH9" i="11"/>
  <c r="BJ11" i="11"/>
  <c r="R10" i="21"/>
  <c r="R14" i="21" s="1"/>
  <c r="BG9" i="11"/>
  <c r="BH13" i="11"/>
  <c r="BH18" i="11"/>
  <c r="AZ9" i="11"/>
  <c r="AZ21" i="11" s="1"/>
  <c r="AZ16" i="11"/>
  <c r="AZ20" i="11" s="1"/>
  <c r="BW1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BF11" i="11"/>
  <c r="BJ18" i="11"/>
  <c r="BF19" i="11"/>
  <c r="BJ19" i="11"/>
  <c r="BL18" i="11"/>
  <c r="BF17" i="11"/>
  <c r="V11" i="11"/>
  <c r="Q10" i="21"/>
  <c r="V9" i="11"/>
  <c r="BI18" i="11"/>
  <c r="AZ13" i="11"/>
  <c r="BK18" i="11"/>
  <c r="AP18" i="20"/>
  <c r="BV18" i="16"/>
  <c r="BW18" i="20"/>
  <c r="BV12" i="16"/>
  <c r="BW12" i="20"/>
  <c r="BW16" i="20"/>
  <c r="BU9" i="17"/>
  <c r="BU19" i="17"/>
  <c r="BU13" i="17"/>
  <c r="S11" i="17"/>
  <c r="V9" i="16"/>
  <c r="L9" i="2"/>
  <c r="L19" i="2"/>
  <c r="X19" i="16"/>
  <c r="S16" i="17"/>
  <c r="BK10" i="11"/>
  <c r="BM9" i="11"/>
  <c r="BG17" i="11"/>
  <c r="BK17" i="11"/>
  <c r="BL10" i="11"/>
  <c r="BF12" i="11"/>
  <c r="S16" i="16"/>
  <c r="AZ11" i="11"/>
  <c r="AZ17" i="11"/>
  <c r="AA17" i="16"/>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<sst xmlns="http://schemas.openxmlformats.org/spreadsheetml/2006/main" count="2229" uniqueCount="979">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</sst>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sU2zsijqx42ZsreyBxAy9bpPdqw5z52rHjLrKWrCvLkO4UTqf8xmw7fgoaG8KTgeONzdzIR47Lh/Sqvs6Po1A==" saltValue="SoDUN6r2LxBE2dApsP5h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81</v>
      </c>
      <c r="D10" s="230">
        <f>IF(ISNUMBER(Datos!I10),Datos!I10," - ")</f>
        <v>81</v>
      </c>
      <c r="E10" s="231">
        <f>IF(ISNUMBER(Datos!J10),Datos!J10," - ")</f>
        <v>32</v>
      </c>
      <c r="F10" s="231">
        <f>IF(ISNUMBER(Datos!K10),Datos!K10," - ")</f>
        <v>43</v>
      </c>
      <c r="G10" s="1193" t="str">
        <f>IF(Datos!E10&lt;&gt;"",Datos!E10,Datos!D10)</f>
        <v>37</v>
      </c>
      <c r="H10" s="232">
        <f>IF(ISNUMBER(Datos!L10),Datos!L10," - ")</f>
        <v>70</v>
      </c>
      <c r="I10" s="1203" t="str">
        <f>IF(ISNUMBER(Datos!AS10/Datos!BM10),Datos!AS10/Datos!BM10," - ")</f>
        <v xml:space="preserve"> - </v>
      </c>
      <c r="J10" s="1204">
        <f>IF(ISNUMBER(Datos!BY10/Datos!CN10),Datos!BY10/Datos!CN10," - ")</f>
        <v>0</v>
      </c>
      <c r="K10" s="235">
        <f t="shared" ref="K10:K13" si="1">IF(ISNUMBER((E10-F10)/C10),(E10-F10)/C10," - ")</f>
        <v>-0.13580246913580246</v>
      </c>
      <c r="L10" s="1205">
        <f>IF(ISNUMBER(NºAsuntos!I10/NºAsuntos!G10),(NºAsuntos!I10/NºAsuntos!G10)*11," - ")</f>
        <v>17.906976744186046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40.033629145259226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81</v>
      </c>
      <c r="D14" s="1210">
        <f>SUBTOTAL(9,D9:D13)</f>
        <v>81</v>
      </c>
      <c r="E14" s="1211">
        <f>SUBTOTAL(9,E9:E13)</f>
        <v>32</v>
      </c>
      <c r="F14" s="1212">
        <f>SUBTOTAL(9,F9:F13)</f>
        <v>43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5935</v>
      </c>
      <c r="D17" s="230">
        <f>IF(ISNUMBER(IF(D_I="SI",Datos!I17,Datos!I17+Datos!AC17)),IF(D_I="SI",Datos!I17,Datos!I17+Datos!AC17)," - ")</f>
        <v>5804</v>
      </c>
      <c r="E17" s="231">
        <f>IF(ISNUMBER(IF(D_I="SI",Datos!J17,Datos!J17+Datos!AD17)),IF(D_I="SI",Datos!J17,Datos!J17+Datos!AD17)," - ")</f>
        <v>3084</v>
      </c>
      <c r="F17" s="231">
        <f>IF(ISNUMBER(IF(D_I="SI",Datos!K17,Datos!K17+Datos!AE17)),IF(D_I="SI",Datos!K17,Datos!K17+Datos!AE17)," - ")</f>
        <v>3343</v>
      </c>
      <c r="G17" s="1193" t="str">
        <f>IF(Datos!E17&lt;&gt;"",Datos!E17,Datos!D17)</f>
        <v>04</v>
      </c>
      <c r="H17" s="232">
        <f>IF(ISNUMBER(IF(D_I="SI",Datos!L17,Datos!L17+Datos!AF17)),IF(D_I="SI",Datos!L17,Datos!L17+Datos!AF17)," - ")</f>
        <v>5676</v>
      </c>
      <c r="I17" s="1203" t="str">
        <f>IF(ISNUMBER(Datos!AS17/Datos!BM17),Datos!AS17/Datos!BM17," - ")</f>
        <v xml:space="preserve"> - </v>
      </c>
      <c r="J17" s="1204">
        <f>IF(ISNUMBER(Datos!BY17/Datos!CN17),Datos!BY17/Datos!CN17," - ")</f>
        <v>0</v>
      </c>
      <c r="K17" s="235">
        <f t="shared" si="3"/>
        <v>-4.3639427127211458E-2</v>
      </c>
      <c r="L17" s="1205">
        <f>IF(ISNUMBER(NºAsuntos!I17/NºAsuntos!G17),(NºAsuntos!I17/NºAsuntos!G17)*11," - ")</f>
        <v>18.676637750523483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431</v>
      </c>
      <c r="D18" s="230">
        <f>IF(ISNUMBER(IF(D_I="SI",Datos!I18,Datos!I18+Datos!AC18)),IF(D_I="SI",Datos!I18,Datos!I18+Datos!AC18)," - ")</f>
        <v>431</v>
      </c>
      <c r="E18" s="231">
        <f>IF(ISNUMBER(IF(D_I="SI",Datos!J18,Datos!J18+Datos!AD18)),IF(D_I="SI",Datos!J18,Datos!J18+Datos!AD18)," - ")</f>
        <v>185</v>
      </c>
      <c r="F18" s="231">
        <f>IF(ISNUMBER(IF(D_I="SI",Datos!K18,Datos!K18+Datos!AE18)),IF(D_I="SI",Datos!K18,Datos!K18+Datos!AE18)," - ")</f>
        <v>206</v>
      </c>
      <c r="G18" s="1193" t="str">
        <f>IF(Datos!E18&lt;&gt;"",Datos!E18,Datos!D18)</f>
        <v>37</v>
      </c>
      <c r="H18" s="232">
        <f>IF(ISNUMBER(IF(D_I="SI",Datos!L18,Datos!L18+Datos!AF18)),IF(D_I="SI",Datos!L18,Datos!L18+Datos!AF18)," - ")</f>
        <v>410</v>
      </c>
      <c r="I18" s="1203" t="str">
        <f>IF(ISNUMBER(Datos!AS18/Datos!BM18),Datos!AS18/Datos!BM18," - ")</f>
        <v xml:space="preserve"> - </v>
      </c>
      <c r="J18" s="1204" t="str">
        <f>IF(ISNUMBER((Datos!BY18+Datos!BZ18)/Datos!CN18),(Datos!BY18+Datos!BZ18)/Datos!CN18," - ")</f>
        <v xml:space="preserve"> - </v>
      </c>
      <c r="K18" s="235">
        <f t="shared" si="3"/>
        <v>-4.8723897911832945E-2</v>
      </c>
      <c r="L18" s="1205">
        <f>IF(ISNUMBER(NºAsuntos!I18/NºAsuntos!G18),(NºAsuntos!I18/NºAsuntos!G18)*11," - ")</f>
        <v>21.893203883495147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6366</v>
      </c>
      <c r="D20" s="1210">
        <f>SUBTOTAL(9,D16:D19)</f>
        <v>6235</v>
      </c>
      <c r="E20" s="1211">
        <f>SUBTOTAL(9,E16:E19)</f>
        <v>3269</v>
      </c>
      <c r="F20" s="1211">
        <f>SUBTOTAL(9,F16:F19)</f>
        <v>3549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6447</v>
      </c>
      <c r="D21" s="1232">
        <f>SUBTOTAL(9,D9:D20)</f>
        <v>6316</v>
      </c>
      <c r="E21" s="1233">
        <f>SUBTOTAL(9,E9:E20)</f>
        <v>3301</v>
      </c>
      <c r="F21" s="1233">
        <f>SUBTOTAL(9,F9:F20)</f>
        <v>3592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QrkYExVDGtCiOw+TSlQltF8dOqz6TiqV+GTBupqJNeoi/5AsuAMxRn+KF9EYVnDvQkjeRPuenFmLz7ZBw3Yokg==" saltValue="13gMiOrwuUuE+UO6C4ltc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1IHxgBy27gRsWe4W0ZD4bar/n7d1evOWisHLiVlkynjmIVIf3xNe3o9uscO/RNGbLLYtHZp3Z+hAr65RwK1S+Q==" saltValue="sAH8I1gXqnSaLBAcwmxR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81</v>
      </c>
      <c r="J10" s="186">
        <v>32</v>
      </c>
      <c r="K10" s="186">
        <v>43</v>
      </c>
      <c r="L10" s="186">
        <v>70</v>
      </c>
      <c r="M10" s="186">
        <v>25</v>
      </c>
      <c r="N10" s="186">
        <v>11</v>
      </c>
      <c r="O10" s="186">
        <v>7</v>
      </c>
      <c r="P10" s="186">
        <v>0</v>
      </c>
      <c r="Q10" s="186">
        <v>1</v>
      </c>
      <c r="R10" s="186">
        <v>40</v>
      </c>
      <c r="S10" s="186">
        <v>101</v>
      </c>
      <c r="T10" s="186">
        <v>21</v>
      </c>
      <c r="U10" s="186">
        <v>41</v>
      </c>
      <c r="V10" s="186">
        <v>81</v>
      </c>
      <c r="W10" s="186">
        <v>10</v>
      </c>
      <c r="X10" s="193">
        <v>8</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101</v>
      </c>
      <c r="AZ10" s="131">
        <f t="shared" si="0"/>
        <v>21</v>
      </c>
      <c r="BA10" s="131">
        <f t="shared" si="0"/>
        <v>41</v>
      </c>
      <c r="BB10" s="131">
        <f t="shared" si="0"/>
        <v>81</v>
      </c>
      <c r="BC10" s="127">
        <f t="shared" si="0"/>
        <v>10</v>
      </c>
      <c r="BD10" s="128">
        <f>IF(ISNUMBER(BA10/AZ10),BA10/AZ10," - ")</f>
        <v>1.9523809523809523</v>
      </c>
      <c r="BE10" s="129">
        <f>IF(ISNUMBER(BB10/BA10),BB10/BA10, " - ")</f>
        <v>1.975609756097561</v>
      </c>
      <c r="BF10" s="129">
        <f>IF(ISNUMBER(BC10/BA10),BC10/BA10, " - ")</f>
        <v>0.24390243902439024</v>
      </c>
      <c r="BG10" s="201">
        <f>IF(ISNUMBER((AY10+AZ10)/BA10),(AY10+AZ10)/BA10," - ")</f>
        <v>2.975609756097561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7507</v>
      </c>
      <c r="J12" s="188">
        <v>2168</v>
      </c>
      <c r="K12" s="188">
        <v>2042</v>
      </c>
      <c r="L12" s="188">
        <v>7632</v>
      </c>
      <c r="M12" s="188">
        <v>495</v>
      </c>
      <c r="N12" s="188">
        <v>959</v>
      </c>
      <c r="O12" s="186">
        <v>825</v>
      </c>
      <c r="P12" s="188">
        <v>405</v>
      </c>
      <c r="Q12" s="188">
        <v>586</v>
      </c>
      <c r="R12" s="188">
        <v>8946</v>
      </c>
      <c r="S12" s="188">
        <v>6055</v>
      </c>
      <c r="T12" s="188">
        <v>1842</v>
      </c>
      <c r="U12" s="188">
        <v>1486</v>
      </c>
      <c r="V12" s="188">
        <v>6477</v>
      </c>
      <c r="W12" s="188">
        <v>391</v>
      </c>
      <c r="X12" s="194">
        <v>517</v>
      </c>
      <c r="Y12" s="196">
        <v>161</v>
      </c>
      <c r="Z12" s="186">
        <v>94</v>
      </c>
      <c r="AA12" s="186">
        <v>99</v>
      </c>
      <c r="AB12" s="186">
        <v>160</v>
      </c>
      <c r="AC12" s="188">
        <v>0</v>
      </c>
      <c r="AD12" s="188">
        <v>0</v>
      </c>
      <c r="AE12" s="188">
        <v>0</v>
      </c>
      <c r="AF12" s="194">
        <v>0</v>
      </c>
      <c r="AG12" s="207">
        <v>171</v>
      </c>
      <c r="AH12" s="188">
        <v>70</v>
      </c>
      <c r="AI12" s="188">
        <v>79</v>
      </c>
      <c r="AJ12" s="208">
        <v>168</v>
      </c>
      <c r="AK12" s="187">
        <v>0</v>
      </c>
      <c r="AL12" s="188">
        <v>0</v>
      </c>
      <c r="AM12" s="188">
        <v>0</v>
      </c>
      <c r="AN12" s="194">
        <v>0</v>
      </c>
      <c r="AO12" s="264">
        <v>8</v>
      </c>
      <c r="AP12" s="160">
        <v>8</v>
      </c>
      <c r="AQ12" s="160">
        <v>8</v>
      </c>
      <c r="AR12" s="159">
        <v>8</v>
      </c>
      <c r="AS12" s="350" t="s">
        <v>874</v>
      </c>
      <c r="AT12" s="208"/>
      <c r="AU12" s="207"/>
      <c r="AV12" s="208"/>
      <c r="AW12" s="207"/>
      <c r="AX12" s="208"/>
      <c r="AY12" s="128">
        <f t="shared" si="1"/>
        <v>6226</v>
      </c>
      <c r="AZ12" s="129">
        <f t="shared" si="1"/>
        <v>1912</v>
      </c>
      <c r="BA12" s="129">
        <f t="shared" si="1"/>
        <v>1565</v>
      </c>
      <c r="BB12" s="129">
        <f t="shared" si="1"/>
        <v>6645</v>
      </c>
      <c r="BC12" s="127">
        <f>IF(ISNUMBER(X12),X12," - ")</f>
        <v>517</v>
      </c>
      <c r="BD12" s="128">
        <f t="shared" si="2"/>
        <v>0.81851464435146448</v>
      </c>
      <c r="BE12" s="129">
        <f t="shared" si="3"/>
        <v>4.2460063897763582</v>
      </c>
      <c r="BF12" s="129">
        <f t="shared" si="4"/>
        <v>0.33035143769968051</v>
      </c>
      <c r="BG12" s="201">
        <f t="shared" si="5"/>
        <v>5.2</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7588</v>
      </c>
      <c r="J14" s="189">
        <f t="shared" si="7"/>
        <v>2200</v>
      </c>
      <c r="K14" s="189">
        <f t="shared" si="7"/>
        <v>2085</v>
      </c>
      <c r="L14" s="189">
        <f t="shared" si="7"/>
        <v>7702</v>
      </c>
      <c r="M14" s="189">
        <f t="shared" si="7"/>
        <v>520</v>
      </c>
      <c r="N14" s="189">
        <f t="shared" si="7"/>
        <v>970</v>
      </c>
      <c r="O14" s="189">
        <f t="shared" si="7"/>
        <v>832</v>
      </c>
      <c r="P14" s="189">
        <f t="shared" si="7"/>
        <v>405</v>
      </c>
      <c r="Q14" s="189">
        <f t="shared" si="7"/>
        <v>587</v>
      </c>
      <c r="R14" s="189">
        <f t="shared" si="7"/>
        <v>8986</v>
      </c>
      <c r="S14" s="189">
        <f t="shared" si="7"/>
        <v>6156</v>
      </c>
      <c r="T14" s="189">
        <f t="shared" si="7"/>
        <v>1863</v>
      </c>
      <c r="U14" s="189">
        <f t="shared" si="7"/>
        <v>1527</v>
      </c>
      <c r="V14" s="189">
        <f t="shared" si="7"/>
        <v>6558</v>
      </c>
      <c r="W14" s="189">
        <f t="shared" si="7"/>
        <v>401</v>
      </c>
      <c r="X14" s="189">
        <f t="shared" si="7"/>
        <v>525</v>
      </c>
      <c r="Y14" s="189">
        <f t="shared" si="7"/>
        <v>161</v>
      </c>
      <c r="Z14" s="189">
        <f t="shared" si="7"/>
        <v>94</v>
      </c>
      <c r="AA14" s="189">
        <f t="shared" si="7"/>
        <v>99</v>
      </c>
      <c r="AB14" s="189">
        <f t="shared" si="7"/>
        <v>160</v>
      </c>
      <c r="AC14" s="189">
        <f t="shared" si="7"/>
        <v>0</v>
      </c>
      <c r="AD14" s="189">
        <f t="shared" si="7"/>
        <v>0</v>
      </c>
      <c r="AE14" s="189">
        <f t="shared" si="7"/>
        <v>0</v>
      </c>
      <c r="AF14" s="189">
        <f>SUBTOTAL(9,AF9:AF13)</f>
        <v>0</v>
      </c>
      <c r="AG14" s="189">
        <f t="shared" ref="AG14:AT14" si="8">SUBTOTAL(9,AG8:AG13)</f>
        <v>171</v>
      </c>
      <c r="AH14" s="189">
        <f t="shared" si="8"/>
        <v>70</v>
      </c>
      <c r="AI14" s="189">
        <f t="shared" si="8"/>
        <v>79</v>
      </c>
      <c r="AJ14" s="189">
        <f t="shared" si="8"/>
        <v>168</v>
      </c>
      <c r="AK14" s="189">
        <f t="shared" si="8"/>
        <v>0</v>
      </c>
      <c r="AL14" s="189">
        <f t="shared" si="8"/>
        <v>0</v>
      </c>
      <c r="AM14" s="189">
        <f t="shared" si="8"/>
        <v>0</v>
      </c>
      <c r="AN14" s="189">
        <f t="shared" si="8"/>
        <v>0</v>
      </c>
      <c r="AO14" s="189">
        <f t="shared" si="8"/>
        <v>9</v>
      </c>
      <c r="AP14" s="189">
        <f t="shared" si="8"/>
        <v>8</v>
      </c>
      <c r="AQ14" s="189">
        <f t="shared" si="8"/>
        <v>8</v>
      </c>
      <c r="AR14" s="189">
        <f t="shared" si="8"/>
        <v>8</v>
      </c>
      <c r="AS14" s="189">
        <f t="shared" si="8"/>
        <v>0</v>
      </c>
      <c r="AT14" s="189">
        <f t="shared" si="8"/>
        <v>0</v>
      </c>
      <c r="AU14" s="209"/>
      <c r="AV14" s="134"/>
      <c r="AW14" s="209"/>
      <c r="AX14" s="134"/>
      <c r="AY14" s="189">
        <f>SUBTOTAL(9,AY8:AY13)</f>
        <v>6327</v>
      </c>
      <c r="AZ14" s="189">
        <f>SUBTOTAL(9,AZ8:AZ13)</f>
        <v>1933</v>
      </c>
      <c r="BA14" s="189">
        <f>SUBTOTAL(9,BA8:BA13)</f>
        <v>1606</v>
      </c>
      <c r="BB14" s="189">
        <f>SUBTOTAL(9,BB8:BB13)</f>
        <v>6726</v>
      </c>
      <c r="BC14" s="189">
        <f>SUBTOTAL(9,BC8:BC13)</f>
        <v>527</v>
      </c>
      <c r="BD14" s="210">
        <f>IF(ISNUMBER(BA14/AZ14),BA14/AZ14," - ")</f>
        <v>0.83083290222452144</v>
      </c>
      <c r="BE14" s="211">
        <f>IF(ISNUMBER(BB14/BA14),BB14/BA14, " - ")</f>
        <v>4.1880448318804486</v>
      </c>
      <c r="BF14" s="211">
        <f>IF(ISNUMBER(BC14/BA14),BC14/BA14, " - ")</f>
        <v>0.32814445828144456</v>
      </c>
      <c r="BG14" s="212">
        <f>IF(ISNUMBER((AY14+AZ14)/BA14),(AY14+AZ14)/BA14," - ")</f>
        <v>5.1432129514321296</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5804</v>
      </c>
      <c r="J17" s="188">
        <v>3084</v>
      </c>
      <c r="K17" s="188">
        <v>3343</v>
      </c>
      <c r="L17" s="188">
        <v>5676</v>
      </c>
      <c r="M17" s="188">
        <v>428</v>
      </c>
      <c r="N17" s="188">
        <v>1990</v>
      </c>
      <c r="O17" s="186">
        <v>30</v>
      </c>
      <c r="P17" s="188">
        <v>81</v>
      </c>
      <c r="Q17" s="188">
        <v>58</v>
      </c>
      <c r="R17" s="188">
        <v>394</v>
      </c>
      <c r="S17" s="188">
        <v>4727</v>
      </c>
      <c r="T17" s="188">
        <v>3032</v>
      </c>
      <c r="U17" s="188">
        <v>3095</v>
      </c>
      <c r="V17" s="188">
        <v>4692</v>
      </c>
      <c r="W17" s="188">
        <v>372</v>
      </c>
      <c r="X17" s="194">
        <v>1784</v>
      </c>
      <c r="Y17" s="207">
        <v>0</v>
      </c>
      <c r="Z17" s="188">
        <v>0</v>
      </c>
      <c r="AA17" s="188">
        <v>0</v>
      </c>
      <c r="AB17" s="188">
        <v>0</v>
      </c>
      <c r="AC17" s="188">
        <v>7</v>
      </c>
      <c r="AD17" s="188">
        <v>1</v>
      </c>
      <c r="AE17" s="188">
        <v>4</v>
      </c>
      <c r="AF17" s="194">
        <v>4</v>
      </c>
      <c r="AG17" s="207">
        <v>0</v>
      </c>
      <c r="AH17" s="188">
        <v>0</v>
      </c>
      <c r="AI17" s="188">
        <v>0</v>
      </c>
      <c r="AJ17" s="208">
        <v>0</v>
      </c>
      <c r="AK17" s="187">
        <v>8</v>
      </c>
      <c r="AL17" s="188">
        <v>4</v>
      </c>
      <c r="AM17" s="188">
        <v>5</v>
      </c>
      <c r="AN17" s="194">
        <v>7</v>
      </c>
      <c r="AO17" s="264">
        <v>8</v>
      </c>
      <c r="AP17" s="160">
        <v>8</v>
      </c>
      <c r="AQ17" s="160">
        <v>8</v>
      </c>
      <c r="AR17" s="160">
        <v>8</v>
      </c>
      <c r="AS17" s="350" t="s">
        <v>545</v>
      </c>
      <c r="AT17" s="208"/>
      <c r="AU17" s="207"/>
      <c r="AV17" s="208"/>
      <c r="AW17" s="207"/>
      <c r="AX17" s="208"/>
      <c r="AY17" s="128">
        <f t="shared" si="10"/>
        <v>4727</v>
      </c>
      <c r="AZ17" s="129">
        <f t="shared" si="10"/>
        <v>3032</v>
      </c>
      <c r="BA17" s="129">
        <f t="shared" si="10"/>
        <v>3095</v>
      </c>
      <c r="BB17" s="129">
        <f t="shared" si="10"/>
        <v>4692</v>
      </c>
      <c r="BC17" s="127">
        <f>IF(ISNUMBER(W17),W17," - ")</f>
        <v>372</v>
      </c>
      <c r="BD17" s="128">
        <f t="shared" ref="BD17:BD19" si="12">IF(ISNUMBER(BA17/AZ17),BA17/AZ17," - ")</f>
        <v>1.020778364116095</v>
      </c>
      <c r="BE17" s="129">
        <f t="shared" ref="BE17:BE19" si="13">IF(ISNUMBER(BB17/BA17),BB17/BA17, " - ")</f>
        <v>1.5159935379644589</v>
      </c>
      <c r="BF17" s="129">
        <f t="shared" ref="BF17:BF19" si="14">IF(ISNUMBER(BC17/BA17),BC17/BA17, " - ")</f>
        <v>0.12019386106623586</v>
      </c>
      <c r="BG17" s="201">
        <f t="shared" si="11"/>
        <v>2.506946688206785</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431</v>
      </c>
      <c r="J18" s="188">
        <v>185</v>
      </c>
      <c r="K18" s="188">
        <v>206</v>
      </c>
      <c r="L18" s="188">
        <v>410</v>
      </c>
      <c r="M18" s="188">
        <v>16</v>
      </c>
      <c r="N18" s="188">
        <v>94</v>
      </c>
      <c r="O18" s="188">
        <v>1</v>
      </c>
      <c r="P18" s="188">
        <v>0</v>
      </c>
      <c r="Q18" s="188">
        <v>1</v>
      </c>
      <c r="R18" s="188">
        <v>2</v>
      </c>
      <c r="S18" s="188">
        <v>244</v>
      </c>
      <c r="T18" s="188">
        <v>120</v>
      </c>
      <c r="U18" s="188">
        <v>125</v>
      </c>
      <c r="V18" s="188">
        <v>240</v>
      </c>
      <c r="W18" s="188">
        <v>15</v>
      </c>
      <c r="X18" s="194">
        <v>59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244</v>
      </c>
      <c r="AZ18" s="131">
        <f t="shared" si="15"/>
        <v>120</v>
      </c>
      <c r="BA18" s="131">
        <f t="shared" si="15"/>
        <v>125</v>
      </c>
      <c r="BB18" s="131">
        <f t="shared" si="15"/>
        <v>240</v>
      </c>
      <c r="BC18" s="127">
        <f>IF(ISNUMBER(W18),W18," - ")</f>
        <v>15</v>
      </c>
      <c r="BD18" s="128">
        <f>IF(ISNUMBER(BA18/AZ18),BA18/AZ18," - ")</f>
        <v>1.0416666666666667</v>
      </c>
      <c r="BE18" s="129">
        <f>IF(ISNUMBER(BB18/BA18),BB18/BA18, " - ")</f>
        <v>1.92</v>
      </c>
      <c r="BF18" s="129">
        <f>IF(ISNUMBER(BC18/BA18),BC18/BA18, " - ")</f>
        <v>0.12</v>
      </c>
      <c r="BG18" s="201">
        <f>IF(ISNUMBER((AY18+AZ18)/BA18),(AY18+AZ18)/BA18," - ")</f>
        <v>2.9119999999999999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6235</v>
      </c>
      <c r="J20" s="189">
        <f t="shared" si="16"/>
        <v>3269</v>
      </c>
      <c r="K20" s="189">
        <f t="shared" si="16"/>
        <v>3549</v>
      </c>
      <c r="L20" s="189">
        <f t="shared" si="16"/>
        <v>6086</v>
      </c>
      <c r="M20" s="189">
        <f t="shared" si="16"/>
        <v>444</v>
      </c>
      <c r="N20" s="189">
        <f t="shared" si="16"/>
        <v>2084</v>
      </c>
      <c r="O20" s="189">
        <f t="shared" si="16"/>
        <v>31</v>
      </c>
      <c r="P20" s="189">
        <f t="shared" si="16"/>
        <v>81</v>
      </c>
      <c r="Q20" s="189">
        <f t="shared" si="16"/>
        <v>59</v>
      </c>
      <c r="R20" s="189">
        <f t="shared" si="16"/>
        <v>396</v>
      </c>
      <c r="S20" s="189">
        <f t="shared" si="16"/>
        <v>4971</v>
      </c>
      <c r="T20" s="189">
        <f t="shared" si="16"/>
        <v>3152</v>
      </c>
      <c r="U20" s="189">
        <f t="shared" si="16"/>
        <v>3220</v>
      </c>
      <c r="V20" s="189">
        <f t="shared" si="16"/>
        <v>4932</v>
      </c>
      <c r="W20" s="189">
        <f t="shared" si="16"/>
        <v>387</v>
      </c>
      <c r="X20" s="189">
        <f t="shared" si="16"/>
        <v>1843</v>
      </c>
      <c r="Y20" s="189">
        <f t="shared" si="16"/>
        <v>0</v>
      </c>
      <c r="Z20" s="189">
        <f t="shared" si="16"/>
        <v>0</v>
      </c>
      <c r="AA20" s="189">
        <f t="shared" si="16"/>
        <v>0</v>
      </c>
      <c r="AB20" s="189">
        <f t="shared" si="16"/>
        <v>0</v>
      </c>
      <c r="AC20" s="189">
        <f t="shared" si="16"/>
        <v>7</v>
      </c>
      <c r="AD20" s="189">
        <f t="shared" si="16"/>
        <v>1</v>
      </c>
      <c r="AE20" s="189">
        <f t="shared" si="16"/>
        <v>4</v>
      </c>
      <c r="AF20" s="189">
        <f t="shared" si="16"/>
        <v>4</v>
      </c>
      <c r="AG20" s="189">
        <f t="shared" si="16"/>
        <v>0</v>
      </c>
      <c r="AH20" s="189">
        <f t="shared" si="16"/>
        <v>0</v>
      </c>
      <c r="AI20" s="189">
        <f t="shared" si="16"/>
        <v>0</v>
      </c>
      <c r="AJ20" s="189">
        <f t="shared" si="16"/>
        <v>0</v>
      </c>
      <c r="AK20" s="189">
        <f t="shared" si="16"/>
        <v>8</v>
      </c>
      <c r="AL20" s="189">
        <f t="shared" si="16"/>
        <v>4</v>
      </c>
      <c r="AM20" s="189">
        <f t="shared" si="16"/>
        <v>5</v>
      </c>
      <c r="AN20" s="189">
        <f t="shared" si="16"/>
        <v>7</v>
      </c>
      <c r="AO20" s="189">
        <f t="shared" si="16"/>
        <v>9</v>
      </c>
      <c r="AP20" s="189">
        <f t="shared" si="16"/>
        <v>8</v>
      </c>
      <c r="AQ20" s="189">
        <f t="shared" si="16"/>
        <v>8</v>
      </c>
      <c r="AR20" s="189">
        <f t="shared" si="16"/>
        <v>8</v>
      </c>
      <c r="AS20" s="189">
        <f t="shared" si="16"/>
        <v>0</v>
      </c>
      <c r="AT20" s="189">
        <f t="shared" si="16"/>
        <v>0</v>
      </c>
      <c r="AU20" s="209"/>
      <c r="AV20" s="134"/>
      <c r="AW20" s="209"/>
      <c r="AX20" s="134"/>
      <c r="AY20" s="189">
        <f>SUBTOTAL(9,AY15:AY19)</f>
        <v>4971</v>
      </c>
      <c r="AZ20" s="189">
        <f>SUBTOTAL(9,AZ15:AZ19)</f>
        <v>3152</v>
      </c>
      <c r="BA20" s="189">
        <f>SUBTOTAL(9,BA15:BA19)</f>
        <v>3220</v>
      </c>
      <c r="BB20" s="189">
        <f>SUBTOTAL(9,BB15:BB19)</f>
        <v>4932</v>
      </c>
      <c r="BC20" s="189">
        <f>SUBTOTAL(9,BC15:BC19)</f>
        <v>387</v>
      </c>
      <c r="BD20" s="210">
        <f>IF(ISNUMBER(BA20/AZ20),BA20/AZ20," - ")</f>
        <v>1.0215736040609138</v>
      </c>
      <c r="BE20" s="211">
        <f>IF(ISNUMBER(BB20/BA20),BB20/BA20, " - ")</f>
        <v>1.5316770186335404</v>
      </c>
      <c r="BF20" s="211">
        <f>IF(ISNUMBER(BC20/BA20),BC20/BA20, " - ")</f>
        <v>0.12018633540372671</v>
      </c>
      <c r="BG20" s="212">
        <f>IF(ISNUMBER((AY20+AZ20)/BA20),(AY20+AZ20)/BA20," - ")</f>
        <v>2.5226708074534163</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13823</v>
      </c>
      <c r="J21" s="136">
        <f t="shared" si="19"/>
        <v>5469</v>
      </c>
      <c r="K21" s="136">
        <f t="shared" si="19"/>
        <v>5634</v>
      </c>
      <c r="L21" s="136">
        <f t="shared" si="19"/>
        <v>13788</v>
      </c>
      <c r="M21" s="136">
        <f t="shared" si="19"/>
        <v>964</v>
      </c>
      <c r="N21" s="136">
        <f t="shared" si="19"/>
        <v>3054</v>
      </c>
      <c r="O21" s="136">
        <f t="shared" si="19"/>
        <v>863</v>
      </c>
      <c r="P21" s="136">
        <f t="shared" si="19"/>
        <v>486</v>
      </c>
      <c r="Q21" s="136">
        <f t="shared" si="19"/>
        <v>646</v>
      </c>
      <c r="R21" s="136">
        <f t="shared" si="19"/>
        <v>9382</v>
      </c>
      <c r="S21" s="136">
        <f t="shared" si="19"/>
        <v>11127</v>
      </c>
      <c r="T21" s="136">
        <f t="shared" si="19"/>
        <v>5015</v>
      </c>
      <c r="U21" s="136">
        <f t="shared" si="19"/>
        <v>4747</v>
      </c>
      <c r="V21" s="136">
        <f t="shared" si="19"/>
        <v>11490</v>
      </c>
      <c r="W21" s="136">
        <f t="shared" si="19"/>
        <v>788</v>
      </c>
      <c r="X21" s="136">
        <f t="shared" si="19"/>
        <v>2368</v>
      </c>
      <c r="Y21" s="136">
        <f t="shared" si="19"/>
        <v>161</v>
      </c>
      <c r="Z21" s="136">
        <f t="shared" si="19"/>
        <v>94</v>
      </c>
      <c r="AA21" s="136">
        <f t="shared" si="19"/>
        <v>99</v>
      </c>
      <c r="AB21" s="136">
        <f t="shared" si="19"/>
        <v>160</v>
      </c>
      <c r="AC21" s="136">
        <f t="shared" si="19"/>
        <v>7</v>
      </c>
      <c r="AD21" s="136">
        <f t="shared" si="19"/>
        <v>1</v>
      </c>
      <c r="AE21" s="136">
        <f t="shared" si="19"/>
        <v>4</v>
      </c>
      <c r="AF21" s="136">
        <f t="shared" si="19"/>
        <v>4</v>
      </c>
      <c r="AG21" s="136">
        <f t="shared" si="19"/>
        <v>171</v>
      </c>
      <c r="AH21" s="136">
        <f t="shared" si="19"/>
        <v>70</v>
      </c>
      <c r="AI21" s="136">
        <f t="shared" si="19"/>
        <v>79</v>
      </c>
      <c r="AJ21" s="136">
        <f t="shared" si="19"/>
        <v>168</v>
      </c>
      <c r="AK21" s="136">
        <f t="shared" si="19"/>
        <v>8</v>
      </c>
      <c r="AL21" s="136">
        <f t="shared" si="19"/>
        <v>4</v>
      </c>
      <c r="AM21" s="136">
        <f t="shared" si="19"/>
        <v>5</v>
      </c>
      <c r="AN21" s="215">
        <f t="shared" si="19"/>
        <v>7</v>
      </c>
      <c r="AO21" s="216">
        <v>9</v>
      </c>
      <c r="AP21" s="216">
        <v>8</v>
      </c>
      <c r="AQ21" s="216">
        <v>8</v>
      </c>
      <c r="AR21" s="216">
        <v>8</v>
      </c>
      <c r="AS21" s="158">
        <f t="shared" si="19"/>
        <v>0</v>
      </c>
      <c r="AT21" s="158">
        <f t="shared" si="19"/>
        <v>0</v>
      </c>
      <c r="AU21" s="216"/>
      <c r="AV21" s="217"/>
      <c r="AW21" s="216"/>
      <c r="AX21" s="217"/>
      <c r="AY21" s="135">
        <f>SUBTOTAL(9,AY9:AY20)</f>
        <v>11298</v>
      </c>
      <c r="AZ21" s="136">
        <f>SUBTOTAL(9,AZ9:AZ20)</f>
        <v>5085</v>
      </c>
      <c r="BA21" s="136">
        <f>SUBTOTAL(9,BA9:BA20)</f>
        <v>4826</v>
      </c>
      <c r="BB21" s="136">
        <f>SUBTOTAL(9,BB9:BB20)</f>
        <v>11658</v>
      </c>
      <c r="BC21" s="137">
        <f>SUBTOTAL(9,BC9:BC20)</f>
        <v>914</v>
      </c>
      <c r="BD21" s="218">
        <f>IF(ISNUMBER(BA21/AZ21),BA21/AZ21," - ")</f>
        <v>0.94906588003933134</v>
      </c>
      <c r="BE21" s="215">
        <f>IF(ISNUMBER(BB21/BA21),BB21/BA21, " - ")</f>
        <v>2.4156651471197681</v>
      </c>
      <c r="BF21" s="215">
        <f>IF(ISNUMBER(BC21/BA21),BC21/BA21, " - ")</f>
        <v>0.18939079983423124</v>
      </c>
      <c r="BG21" s="137">
        <f>IF(ISNUMBER((AY21+AZ21)/BA21),(AY21+AZ21)/BA21," - ")</f>
        <v>3.3947368421052633</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2+SA4lGo4UfQnKFInYpI+RDESHrX9Z5c65MPJHP/nOKKIM7u0++soS/l/TgdvVwWQ/LU77f45rtrFfd2IxF2A==" saltValue="IqVYZhtFWiUfC0YEUCQ/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u3zYoDwrO2f26n/Pj2JhIpb72jvyNnlHEfltr5Y8Tq7mouVf7GJqT5kQx4mg1pJgHapjOallE7TI/DXgUDF8g==" saltValue="sMGEfvav3+mQV+NZJ+T7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GIRONA  Resumenes por Partidos Judiciales  FIGUERES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81</v>
      </c>
      <c r="G10" s="498">
        <f>IF(ISNUMBER(Datos!I10),Datos!I10," - ")</f>
        <v>81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43</v>
      </c>
      <c r="AC10" s="502">
        <f>IF(ISNUMBER(Datos!Q10),Datos!Q10," - ")</f>
        <v>1</v>
      </c>
      <c r="AD10" s="504"/>
      <c r="AE10" s="517"/>
      <c r="AF10" s="506">
        <f>IF(ISNUMBER(Datos!L10),Datos!L10,"-")</f>
        <v>70</v>
      </c>
      <c r="AG10" s="504"/>
      <c r="AH10" s="504"/>
      <c r="AI10" s="504"/>
      <c r="AJ10" s="504"/>
      <c r="AK10" s="504"/>
      <c r="AL10" s="505"/>
      <c r="AM10" s="672">
        <f>IF(ISNUMBER(Datos!R10),Datos!R10," - ")</f>
        <v>40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25</v>
      </c>
      <c r="BD10" s="620">
        <f>IF(ISNUMBER(Datos!N10),Datos!N10," - ")</f>
        <v>11</v>
      </c>
      <c r="BE10" s="620" t="str">
        <f>IF(ISNUMBER(Datos!BW10),Datos!BW10," - ")</f>
        <v xml:space="preserve"> - </v>
      </c>
      <c r="BF10" s="668" t="str">
        <f>IF(ISNUMBER(Datos!BX10),Datos!BX10," - ")</f>
        <v xml:space="preserve"> - </v>
      </c>
      <c r="BG10" s="669">
        <f>IF(ISNUMBER(Datos!K10/Datos!J10),Datos!K10/Datos!J10," - ")</f>
        <v>1.34375</v>
      </c>
      <c r="BH10" s="670">
        <f>IF(ISNUMBER(((Datos!L10/Datos!K10)*11)/factor_trimestre),((Datos!L10/Datos!K10)*11)/factor_trimestre," - ")</f>
        <v>4.8837209302325579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-2.4390243902439025E-2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94</v>
      </c>
      <c r="O12" s="504"/>
      <c r="P12" s="504"/>
      <c r="Q12" s="502">
        <f>IF(ISNUMBER(Datos!P12),Datos!P12,0)</f>
        <v>405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586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160</v>
      </c>
      <c r="AI12" s="504" t="str">
        <f>IF(ISNUMBER(Datos!CD12),Datos!CD12,"-")</f>
        <v>-</v>
      </c>
      <c r="AJ12" s="504" t="str">
        <f>IF(ISNUMBER(Datos!EN12),Datos!EN12," - ")</f>
        <v xml:space="preserve"> - </v>
      </c>
      <c r="AK12" s="504"/>
      <c r="AL12" s="505"/>
      <c r="AM12" s="672">
        <f>IF(ISNUMBER(Datos!R12),Datos!R12," - ")</f>
        <v>8946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495</v>
      </c>
      <c r="BD12" s="620">
        <f>IF(ISNUMBER(Datos!N12),Datos!N12," - ")</f>
        <v>959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0.94650751547303269</v>
      </c>
      <c r="BH12" s="670">
        <f>IF(ISNUMBER(((IF(J_V="SI",Datos!L12/Datos!K12,(Datos!L12+Datos!AB12)/(Datos!K12+Datos!AA12)))*11)/factor_trimestre),((IF(J_V="SI",Datos!L12/Datos!K12,(Datos!L12+Datos!AB12)/(Datos!K12+Datos!AA12)))*11)/factor_trimestre," - ")</f>
        <v>10.918262494161608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-1.9831269858661116E-2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81</v>
      </c>
      <c r="G14" s="1045">
        <f t="shared" si="1"/>
        <v>81</v>
      </c>
      <c r="H14" s="1046">
        <f t="shared" si="1"/>
        <v>0</v>
      </c>
      <c r="I14" s="1045">
        <f t="shared" si="1"/>
        <v>0</v>
      </c>
      <c r="J14" s="1014">
        <f t="shared" si="1"/>
        <v>0</v>
      </c>
      <c r="K14" s="1014">
        <f t="shared" si="1"/>
        <v>0</v>
      </c>
      <c r="L14" s="1046">
        <f t="shared" si="1"/>
        <v>0</v>
      </c>
      <c r="M14" s="1046">
        <f t="shared" si="1"/>
        <v>0</v>
      </c>
      <c r="N14" s="1046">
        <f t="shared" si="1"/>
        <v>94</v>
      </c>
      <c r="O14" s="1047">
        <f t="shared" si="1"/>
        <v>0</v>
      </c>
      <c r="P14" s="1047">
        <f t="shared" si="1"/>
        <v>0</v>
      </c>
      <c r="Q14" s="1046">
        <f t="shared" si="1"/>
        <v>405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43</v>
      </c>
      <c r="AC14" s="1046">
        <f t="shared" si="2"/>
        <v>587</v>
      </c>
      <c r="AD14" s="1046">
        <f t="shared" si="2"/>
        <v>0</v>
      </c>
      <c r="AE14" s="1046">
        <f t="shared" si="2"/>
        <v>0</v>
      </c>
      <c r="AF14" s="1046">
        <f t="shared" si="2"/>
        <v>70</v>
      </c>
      <c r="AG14" s="1046">
        <f t="shared" si="2"/>
        <v>0</v>
      </c>
      <c r="AH14" s="1046">
        <f t="shared" si="2"/>
        <v>160</v>
      </c>
      <c r="AI14" s="1046">
        <f t="shared" si="2"/>
        <v>0</v>
      </c>
      <c r="AJ14" s="1046">
        <f t="shared" si="2"/>
        <v>0</v>
      </c>
      <c r="AK14" s="1046">
        <f t="shared" si="2"/>
        <v>0</v>
      </c>
      <c r="AL14" s="1046">
        <f t="shared" si="2"/>
        <v>0</v>
      </c>
      <c r="AM14" s="1046">
        <f t="shared" si="2"/>
        <v>8986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520</v>
      </c>
      <c r="BD14" s="1046">
        <f t="shared" si="2"/>
        <v>970</v>
      </c>
      <c r="BE14" s="1046">
        <f t="shared" si="2"/>
        <v>0</v>
      </c>
      <c r="BF14" s="1046">
        <f t="shared" si="2"/>
        <v>0</v>
      </c>
      <c r="BG14" s="1046">
        <f>IF(ISNUMBER(Datos!K14/Datos!J14),Datos!K14/Datos!J14," - ")</f>
        <v>0.94772727272727275</v>
      </c>
      <c r="BH14" s="1050">
        <f>IF(ISNUMBER(((Datos!L14/Datos!K14)*11)/factor_trimestre),((Datos!L14/Datos!K14)*11)/factor_trimestre," - ")</f>
        <v>11.08201438848921</v>
      </c>
      <c r="BI14" s="1046">
        <f>IF(ISNUMBER('Resol  Asuntos'!D14/NºAsuntos!G14),'Resol  Asuntos'!D14/NºAsuntos!G14," - ")</f>
        <v>0.23809523809523808</v>
      </c>
      <c r="BJ14" s="1046" t="str">
        <f>IF(ISNUMBER(Datos!CI14/Datos!CJ14),Datos!CI14/Datos!CJ14," - ")</f>
        <v xml:space="preserve"> - </v>
      </c>
      <c r="BK14" s="1046">
        <f>SUBTOTAL(9,BK8:BK13)</f>
        <v>0</v>
      </c>
      <c r="BL14" s="1046">
        <f>IF(ISNUMBER((I14-AB14+L14)/(F14)),(I14-AB14+L14)/(F14)," - ")</f>
        <v>-0.53086419753086422</v>
      </c>
      <c r="BM14" s="1051">
        <f>SUBTOTAL(9,BM9:BM13)</f>
        <v>-4.4221513761100145E-2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5935</v>
      </c>
      <c r="G17" s="651">
        <f>IF(ISNUMBER(IF(D_I="SI",Datos!I17,Datos!I17+Datos!AC17)),IF(D_I="SI",Datos!I17,Datos!I17+Datos!AC17)," - ")</f>
        <v>5804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3343</v>
      </c>
      <c r="AC17" s="231">
        <f>IF(ISNUMBER(Datos!Q17),Datos!Q17," - ")</f>
        <v>58</v>
      </c>
      <c r="AD17" s="344"/>
      <c r="AE17" s="516"/>
      <c r="AF17" s="649">
        <f>IF(ISNUMBER(IF(D_I="SI",Datos!L17,Datos!L17+Datos!AF17)),IF(D_I="SI",Datos!L17,Datos!L17+Datos!AF17)," - ")</f>
        <v>5676</v>
      </c>
      <c r="AG17" s="344"/>
      <c r="AH17" s="344"/>
      <c r="AI17" s="344"/>
      <c r="AJ17" s="504"/>
      <c r="AK17" s="344"/>
      <c r="AL17" s="500"/>
      <c r="AM17" s="345">
        <f>IF(ISNUMBER(Datos!R17),Datos!R17," - ")</f>
        <v>394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428</v>
      </c>
      <c r="BD17" s="234">
        <f>IF(ISNUMBER(Datos!N17),Datos!N17," - ")</f>
        <v>1990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1.0839818417639429</v>
      </c>
      <c r="BH17" s="670">
        <f>IF(ISNUMBER(((IF(D_I="SI",Datos!L17/Datos!K17,(Datos!L17+Datos!AF17)/(Datos!K17+Datos!AE17)))*11)/factor_trimestre),((IF(D_I="SI",Datos!L17/Datos!K17,(Datos!L17+Datos!AF17)/(Datos!K17+Datos!AE17)))*11)/factor_trimestre," - ")</f>
        <v>5.0936284774154954</v>
      </c>
      <c r="BI17" s="248">
        <f>IF(ISNUMBER('Resol  Asuntos'!D17/NºAsuntos!G17),'Resol  Asuntos'!D17/NºAsuntos!G17," - ")</f>
        <v>0.12802871672150762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431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206</v>
      </c>
      <c r="AC18" s="502">
        <f>IF(ISNUMBER(Datos!Q18),Datos!Q18," - ")</f>
        <v>1</v>
      </c>
      <c r="AD18" s="504"/>
      <c r="AE18" s="516"/>
      <c r="AF18" s="506">
        <f>IF(ISNUMBER(Datos!L18),Datos!L18,"-")</f>
        <v>410</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16</v>
      </c>
      <c r="BD18" s="620">
        <f>IF(ISNUMBER(Datos!N18),Datos!N18," - ")</f>
        <v>94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1.1135135135135135</v>
      </c>
      <c r="BH18" s="670">
        <f>IF(ISNUMBER(((IF(D_I="SI",Datos!L18/Datos!K18,(Datos!L18+Datos!AF18)/(Datos!K18+Datos!AE18)))*11)/factor_trimestre),((IF(D_I="SI",Datos!L18/Datos!K18,(Datos!L18+Datos!AF18)/(Datos!K18+Datos!AE18)))*11)/factor_trimestre," - ")</f>
        <v>5.9708737864077674</v>
      </c>
      <c r="BI18" s="669">
        <f>IF(ISNUMBER('Resol  Asuntos'!D18/NºAsuntos!G18),'Resol  Asuntos'!D18/NºAsuntos!G18," - ")</f>
        <v>7.7669902912621352E-2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5935</v>
      </c>
      <c r="G20" s="1045">
        <f>SUBTOTAL(9,G16:G19)</f>
        <v>6235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3549</v>
      </c>
      <c r="AC20" s="1046">
        <f t="shared" si="5"/>
        <v>59</v>
      </c>
      <c r="AD20" s="1046">
        <f t="shared" si="5"/>
        <v>0</v>
      </c>
      <c r="AE20" s="1046">
        <f t="shared" si="5"/>
        <v>0</v>
      </c>
      <c r="AF20" s="1046">
        <f t="shared" si="5"/>
        <v>6086</v>
      </c>
      <c r="AG20" s="1046">
        <f t="shared" si="5"/>
        <v>0</v>
      </c>
      <c r="AH20" s="1046">
        <f t="shared" si="5"/>
        <v>0</v>
      </c>
      <c r="AI20" s="1046">
        <f t="shared" si="5"/>
        <v>0</v>
      </c>
      <c r="AJ20" s="1046">
        <f t="shared" si="5"/>
        <v>0</v>
      </c>
      <c r="AK20" s="1046">
        <f t="shared" si="5"/>
        <v>0</v>
      </c>
      <c r="AL20" s="1046">
        <f t="shared" si="5"/>
        <v>0</v>
      </c>
      <c r="AM20" s="1046">
        <f t="shared" si="5"/>
        <v>396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444</v>
      </c>
      <c r="BD20" s="1046">
        <f t="shared" si="5"/>
        <v>2084</v>
      </c>
      <c r="BE20" s="1046">
        <f t="shared" si="5"/>
        <v>0</v>
      </c>
      <c r="BF20" s="1046">
        <f t="shared" si="5"/>
        <v>0</v>
      </c>
      <c r="BG20" s="1046">
        <f>IF(ISNUMBER(Datos!K20/Datos!J20),Datos!K20/Datos!J20," - ")</f>
        <v>1.0856531049250535</v>
      </c>
      <c r="BH20" s="1050">
        <f>IF(ISNUMBER(((Datos!L20/Datos!K20)*11)/factor_trimestre),((Datos!L20/Datos!K20)*11)/factor_trimestre," - ")</f>
        <v>5.144547759932375</v>
      </c>
      <c r="BI20" s="1046">
        <f>SUBTOTAL(9,BI16:BI19)</f>
        <v>0.20569861963412897</v>
      </c>
      <c r="BJ20" s="1046">
        <f>SUBTOTAL(9,BJ16:BJ19)</f>
        <v>0</v>
      </c>
      <c r="BK20" s="1046">
        <f>SUBTOTAL(9,BK16:BK19)</f>
        <v>0</v>
      </c>
      <c r="BL20" s="1046">
        <f>IF(ISNUMBER((I20-AB20+L20)/(F20)),(I20-AB20+L20)/(F20)," - ")</f>
        <v>-0.59797809604043806</v>
      </c>
      <c r="BM20" s="1052">
        <f>IF(ISNUMBER((Datos!P20-Datos!Q20)/(Datos!R20-Datos!P20+Datos!Q20)),(Datos!P20-Datos!Q20)/(Datos!R20-Datos!P20+Datos!Q20)," - ")</f>
        <v>5.8823529411764705E-2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6016</v>
      </c>
      <c r="G21" s="967">
        <f t="shared" si="7"/>
        <v>6316</v>
      </c>
      <c r="H21" s="969">
        <f t="shared" si="7"/>
        <v>0</v>
      </c>
      <c r="I21" s="967">
        <f t="shared" si="7"/>
        <v>0</v>
      </c>
      <c r="J21" s="969">
        <f t="shared" si="7"/>
        <v>0</v>
      </c>
      <c r="K21" s="969">
        <f t="shared" si="7"/>
        <v>0</v>
      </c>
      <c r="L21" s="1028">
        <f t="shared" si="7"/>
        <v>0</v>
      </c>
      <c r="M21" s="1028">
        <f t="shared" si="7"/>
        <v>0</v>
      </c>
      <c r="N21" s="1028">
        <f t="shared" si="7"/>
        <v>94</v>
      </c>
      <c r="O21" s="1028">
        <f t="shared" si="7"/>
        <v>0</v>
      </c>
      <c r="P21" s="1028">
        <f t="shared" si="7"/>
        <v>0</v>
      </c>
      <c r="Q21" s="969">
        <f t="shared" si="7"/>
        <v>486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3592</v>
      </c>
      <c r="AC21" s="968">
        <f t="shared" si="8"/>
        <v>646</v>
      </c>
      <c r="AD21" s="968">
        <f t="shared" si="8"/>
        <v>0</v>
      </c>
      <c r="AE21" s="968">
        <f t="shared" si="8"/>
        <v>0</v>
      </c>
      <c r="AF21" s="975">
        <f t="shared" si="8"/>
        <v>6156</v>
      </c>
      <c r="AG21" s="975">
        <f t="shared" si="8"/>
        <v>0</v>
      </c>
      <c r="AH21" s="975">
        <f t="shared" si="8"/>
        <v>160</v>
      </c>
      <c r="AI21" s="975">
        <f t="shared" si="8"/>
        <v>0</v>
      </c>
      <c r="AJ21" s="968">
        <f t="shared" si="8"/>
        <v>0</v>
      </c>
      <c r="AK21" s="975">
        <f t="shared" si="8"/>
        <v>0</v>
      </c>
      <c r="AL21" s="975">
        <f t="shared" si="8"/>
        <v>0</v>
      </c>
      <c r="AM21" s="975">
        <f t="shared" si="8"/>
        <v>9382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964</v>
      </c>
      <c r="BD21" s="967">
        <f t="shared" si="8"/>
        <v>3054</v>
      </c>
      <c r="BE21" s="967">
        <f t="shared" si="8"/>
        <v>0</v>
      </c>
      <c r="BF21" s="977">
        <f t="shared" si="8"/>
        <v>0</v>
      </c>
      <c r="BG21" s="1062">
        <f>IF(ISNUMBER(Datos!K21/Datos!J21),Datos!K21/Datos!J21," - ")</f>
        <v>1.0301700493691717</v>
      </c>
      <c r="BH21" s="1062">
        <f>IF(ISNUMBER(((Datos!L21/Datos!K21)*11)/factor_trimestre),((Datos!L21/Datos!K21)*11)/factor_trimestre," - ")</f>
        <v>7.341853035143771</v>
      </c>
      <c r="BI21" s="960">
        <f>IF(ISNUMBER(Datos!J21/Datos!I21),Datos!J21/Datos!I21," - ")</f>
        <v>0.39564493959343122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-0.59707446808510634</v>
      </c>
      <c r="BM21" s="1036">
        <f>IF(ISNUMBER((Datos!P21-Datos!Q21+R21)/(Datos!R21-Datos!P21+Datos!Q21-R21)),(Datos!P21-Datos!Q21+R21)/(Datos!R21-Datos!P21+Datos!Q21-R21)," - ")</f>
        <v>-1.6767973171242925E-2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2526.4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4.036199832876104</v>
      </c>
      <c r="F23" s="600">
        <f>IF(ISNUMBER(STDEV(F8:F20)),STDEV(F8:F20),"-")</f>
        <v>3379.8084758360692</v>
      </c>
      <c r="G23" s="601">
        <f>IF(ISNUMBER(STDEV(G8:G20)),STDEV(G8:G20),"-")</f>
        <v>3195.5844222927362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1836.7915505032138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235.4125456866449</v>
      </c>
      <c r="BD23" s="600"/>
      <c r="BE23" s="600">
        <f>IF(ISNUMBER(STDEV(BE8:BE20)),STDEV(BE8:BE20),"-")</f>
        <v>0</v>
      </c>
      <c r="BF23" s="605">
        <f>IF(ISNUMBER(STDEV(BF8:BF20)),STDEV(BF8:BF20),"-")</f>
        <v>0</v>
      </c>
      <c r="BG23" s="915">
        <f>IF(ISNUMBER(STDEV(BG8:BG20)),STDEV(BG8:BG20),"-")</f>
        <v>0.14544370585565702</v>
      </c>
      <c r="BH23" s="919">
        <f>IF(ISNUMBER(STDEV(BH8:BH20)),STDEV(BH8:BH20),"-")</f>
        <v>2.9809793728701934</v>
      </c>
      <c r="BI23" s="254">
        <f>IF(ISNUMBER(STDEV(BI8:BI20)),STDEV(BI8:BI20),"-")</f>
        <v>7.2950008245106696E-2</v>
      </c>
      <c r="BJ23" s="235" t="str">
        <f>IF(ISNUMBER(BL23/BM23),BL23/BM23," - ")</f>
        <v xml:space="preserve"> - </v>
      </c>
      <c r="BK23" s="627"/>
      <c r="BL23" s="608">
        <f>IF(ISNUMBER(STDEV(BL8:BL20)),STDEV(BL8:BL20),"-")</f>
        <v>4.7456692747985384E-2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yA4wH8ethNVezsKILs7veBd8FOuQsng4MlgDp5SFbmpwWLotrdjQ/DYc/K+DyJbWfsTk4kAdlc7MKFe0r2+1g==" saltValue="s0JVUAs07SzJk5mh9Emj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GIRONA  Resumenes por Partidos Judiciales  FIGUERES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81</v>
      </c>
      <c r="G10" s="507">
        <f>IF(ISNUMBER(Datos!I10),Datos!I10," - ")</f>
        <v>81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43</v>
      </c>
      <c r="Z10" s="704">
        <f>IF(ISNUMBER(Datos!Q10),Datos!Q10," - ")</f>
        <v>1</v>
      </c>
      <c r="AA10" s="506">
        <f>IF(ISNUMBER(Datos!L10),Datos!L10,"-")</f>
        <v>70</v>
      </c>
      <c r="AB10" s="504"/>
      <c r="AC10" s="504"/>
      <c r="AD10" s="517"/>
      <c r="AE10" s="517">
        <f>IF(ISNUMBER(Datos!R10),Datos!R10," - ")</f>
        <v>40</v>
      </c>
      <c r="AF10" s="620" t="str">
        <f>IF(ISNUMBER(Datos!BV10),Datos!BV10," - ")</f>
        <v xml:space="preserve"> - </v>
      </c>
      <c r="AG10" s="507" t="str">
        <f>IF(ISNUMBER(Datos!DV10),Datos!DV10," - ")</f>
        <v xml:space="preserve"> - </v>
      </c>
      <c r="AH10" s="508"/>
      <c r="AI10" s="509"/>
      <c r="AJ10" s="507">
        <f>IF(ISNUMBER(Datos!M10),Datos!M10," - ")</f>
        <v>25</v>
      </c>
      <c r="AK10" s="620">
        <f>IF(ISNUMBER(Datos!N10),Datos!N10," - ")</f>
        <v>11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4.8837209302325579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-2.4390243902439025E-2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405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586</v>
      </c>
      <c r="AA12" s="506" t="str">
        <f>IF(ISNUMBER(IF(J_V="SI",Datos!L12,Datos!L12+Datos!AB12)-IF(Monitorios="SI",Datos!CD12,0)),
                          IF(J_V="SI",Datos!L12,Datos!L12+Datos!AB12)-IF(Monitorios="SI",Datos!CD12,0),
                          " - ")</f>
        <v xml:space="preserve"> - </v>
      </c>
      <c r="AB12" s="504"/>
      <c r="AC12" s="504"/>
      <c r="AD12" s="517"/>
      <c r="AE12" s="517">
        <f>IF(ISNUMBER(Datos!R12),Datos!R12," - ")</f>
        <v>8946</v>
      </c>
      <c r="AF12" s="620" t="str">
        <f>IF(ISNUMBER(Datos!BV12),Datos!BV12," - ")</f>
        <v xml:space="preserve"> - </v>
      </c>
      <c r="AG12" s="507" t="str">
        <f>IF(ISNUMBER(Datos!DV12),Datos!DV12," - ")</f>
        <v xml:space="preserve"> - </v>
      </c>
      <c r="AH12" s="508"/>
      <c r="AI12" s="509"/>
      <c r="AJ12" s="507">
        <f>IF(ISNUMBER(Datos!M12),Datos!M12," - ")</f>
        <v>495</v>
      </c>
      <c r="AK12" s="620">
        <f>IF(ISNUMBER(Datos!N12),Datos!N12," - ")</f>
        <v>959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10.918262494161608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-1.9831269858661116E-2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81</v>
      </c>
      <c r="G14" s="1045">
        <f>SUBTOTAL(9,G8:G13)</f>
        <v>81</v>
      </c>
      <c r="H14" s="1055"/>
      <c r="I14" s="1045">
        <f t="shared" ref="I14:N14" si="1">SUBTOTAL(9,I8:I13)</f>
        <v>0</v>
      </c>
      <c r="J14" s="1014">
        <f t="shared" si="1"/>
        <v>0</v>
      </c>
      <c r="K14" s="1055">
        <f t="shared" si="1"/>
        <v>0</v>
      </c>
      <c r="L14" s="1055">
        <f t="shared" si="1"/>
        <v>0</v>
      </c>
      <c r="M14" s="1055">
        <f t="shared" si="1"/>
        <v>0</v>
      </c>
      <c r="N14" s="1055">
        <f t="shared" si="1"/>
        <v>405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43</v>
      </c>
      <c r="Z14" s="1054">
        <f t="shared" si="3"/>
        <v>587</v>
      </c>
      <c r="AA14" s="1047">
        <f t="shared" si="3"/>
        <v>70</v>
      </c>
      <c r="AB14" s="1047">
        <f t="shared" si="3"/>
        <v>0</v>
      </c>
      <c r="AC14" s="1047">
        <f t="shared" si="3"/>
        <v>0</v>
      </c>
      <c r="AD14" s="1047">
        <f t="shared" si="3"/>
        <v>0</v>
      </c>
      <c r="AE14" s="1047">
        <f t="shared" si="3"/>
        <v>8986</v>
      </c>
      <c r="AF14" s="1055">
        <f t="shared" si="3"/>
        <v>0</v>
      </c>
      <c r="AG14" s="1055">
        <f t="shared" si="3"/>
        <v>0</v>
      </c>
      <c r="AH14" s="1055">
        <f t="shared" si="3"/>
        <v>0</v>
      </c>
      <c r="AI14" s="1055">
        <f t="shared" si="3"/>
        <v>0</v>
      </c>
      <c r="AJ14" s="1055">
        <f t="shared" si="3"/>
        <v>520</v>
      </c>
      <c r="AK14" s="1055">
        <f t="shared" si="3"/>
        <v>970</v>
      </c>
      <c r="AL14" s="1055">
        <f t="shared" si="3"/>
        <v>0</v>
      </c>
      <c r="AM14" s="1055">
        <f t="shared" si="3"/>
        <v>0</v>
      </c>
      <c r="AN14" s="1055">
        <f t="shared" si="3"/>
        <v>0</v>
      </c>
      <c r="AO14" s="1051">
        <f>IF(ISNUMBER(((NºAsuntos!I14/NºAsuntos!G14)*11)/factor_trimestre),((NºAsuntos!I14/NºAsuntos!G14)*11)/factor_trimestre," - ")</f>
        <v>10.799450549450551</v>
      </c>
      <c r="AP14" s="1057" t="str">
        <f>IF(ISNUMBER(Datos!CI14/Datos!CJ14),Datos!CI14/Datos!CJ14," - ")</f>
        <v xml:space="preserve"> - </v>
      </c>
      <c r="AQ14" s="1075">
        <f t="shared" ref="AQ14:AV14" si="4">SUBTOTAL(9,AQ9:AQ13)</f>
        <v>0</v>
      </c>
      <c r="AR14" s="1075">
        <f t="shared" si="4"/>
        <v>-4.4221513761100145E-2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5935</v>
      </c>
      <c r="G17" s="507">
        <f>IF(ISNUMBER(IF(D_I="SI",Datos!I17,Datos!I17+Datos!AC17)),IF(D_I="SI",Datos!I17,Datos!I17+Datos!AC17)," - ")</f>
        <v>5804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3343</v>
      </c>
      <c r="Z17" s="704">
        <f>IF(ISNUMBER(Datos!Q17),Datos!Q17," - ")</f>
        <v>58</v>
      </c>
      <c r="AA17" s="506">
        <f>IF(ISNUMBER(IF(D_I="SI",Datos!L17,Datos!L17+Datos!AF17)),IF(D_I="SI",Datos!L17,Datos!L17+Datos!AF17)," - ")</f>
        <v>5676</v>
      </c>
      <c r="AB17" s="504"/>
      <c r="AC17" s="504"/>
      <c r="AD17" s="517"/>
      <c r="AE17" s="517">
        <f>IF(ISNUMBER(Datos!R17),Datos!R17," - ")</f>
        <v>394</v>
      </c>
      <c r="AF17" s="620" t="str">
        <f>IF(ISNUMBER(Datos!BV17),Datos!BV17," - ")</f>
        <v xml:space="preserve"> - </v>
      </c>
      <c r="AG17" s="507"/>
      <c r="AH17" s="508"/>
      <c r="AI17" s="509"/>
      <c r="AJ17" s="507">
        <f>IF(ISNUMBER(Datos!M17),Datos!M17," - ")</f>
        <v>428</v>
      </c>
      <c r="AK17" s="620">
        <f>IF(ISNUMBER(Datos!N17),Datos!N17," - ")</f>
        <v>1990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5.0936284774154954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431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206</v>
      </c>
      <c r="Z18" s="704">
        <f>IF(ISNUMBER(Datos!Q18),Datos!Q18," - ")</f>
        <v>1</v>
      </c>
      <c r="AA18" s="506">
        <f>IF(ISNUMBER(Datos!L18),Datos!L18,"-")</f>
        <v>410</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16</v>
      </c>
      <c r="AK18" s="620">
        <f>IF(ISNUMBER(Datos!N18),Datos!N18," - ")</f>
        <v>94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5.9708737864077674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5935</v>
      </c>
      <c r="G20" s="1045">
        <f>SUBTOTAL(9,G16:G19)</f>
        <v>6235</v>
      </c>
      <c r="H20" s="1079">
        <f>SUBTOTAL(9,H16:H19)</f>
        <v>0</v>
      </c>
      <c r="I20" s="1058">
        <f>SUBTOTAL(9,I16:I19)</f>
        <v>0</v>
      </c>
      <c r="J20" s="1014">
        <f>SUBTOTAL(9,J15:J19)</f>
        <v>0</v>
      </c>
      <c r="K20" s="1079">
        <f t="shared" ref="K20:S20" si="5">SUBTOTAL(9,K16:K19)</f>
        <v>0</v>
      </c>
      <c r="L20" s="1079">
        <f t="shared" si="5"/>
        <v>0</v>
      </c>
      <c r="M20" s="1079">
        <f t="shared" si="5"/>
        <v>0</v>
      </c>
      <c r="N20" s="1079">
        <f t="shared" si="5"/>
        <v>81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3549</v>
      </c>
      <c r="Z20" s="1079">
        <f t="shared" si="6"/>
        <v>59</v>
      </c>
      <c r="AA20" s="1079">
        <f t="shared" si="6"/>
        <v>6086</v>
      </c>
      <c r="AB20" s="1079">
        <f t="shared" si="6"/>
        <v>0</v>
      </c>
      <c r="AC20" s="1079">
        <f t="shared" si="6"/>
        <v>0</v>
      </c>
      <c r="AD20" s="1079">
        <f t="shared" si="6"/>
        <v>0</v>
      </c>
      <c r="AE20" s="1079">
        <f t="shared" si="6"/>
        <v>396</v>
      </c>
      <c r="AF20" s="1079">
        <f t="shared" si="6"/>
        <v>0</v>
      </c>
      <c r="AG20" s="1079">
        <f t="shared" si="6"/>
        <v>0</v>
      </c>
      <c r="AH20" s="1079">
        <f t="shared" si="6"/>
        <v>0</v>
      </c>
      <c r="AI20" s="1079">
        <f t="shared" si="6"/>
        <v>0</v>
      </c>
      <c r="AJ20" s="1079">
        <f t="shared" si="6"/>
        <v>444</v>
      </c>
      <c r="AK20" s="1079">
        <f t="shared" si="6"/>
        <v>2084</v>
      </c>
      <c r="AL20" s="1079">
        <f t="shared" si="6"/>
        <v>0</v>
      </c>
      <c r="AM20" s="1079">
        <f t="shared" si="6"/>
        <v>0</v>
      </c>
      <c r="AN20" s="1079">
        <f t="shared" si="6"/>
        <v>0</v>
      </c>
      <c r="AO20" s="1081">
        <f>IF(ISNUMBER(((NºAsuntos!I20/NºAsuntos!G20)*11)/factor_trimestre),((NºAsuntos!I20/NºAsuntos!G20)*11)/factor_trimestre," - ")</f>
        <v>5.144547759932375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6016</v>
      </c>
      <c r="G21" s="967">
        <f t="shared" si="8"/>
        <v>6316</v>
      </c>
      <c r="H21" s="968">
        <f t="shared" si="8"/>
        <v>0</v>
      </c>
      <c r="I21" s="967">
        <f t="shared" si="8"/>
        <v>0</v>
      </c>
      <c r="J21" s="969">
        <f t="shared" si="8"/>
        <v>0</v>
      </c>
      <c r="K21" s="967">
        <f t="shared" si="8"/>
        <v>0</v>
      </c>
      <c r="L21" s="970">
        <f t="shared" si="8"/>
        <v>0</v>
      </c>
      <c r="M21" s="967">
        <f t="shared" si="8"/>
        <v>0</v>
      </c>
      <c r="N21" s="968">
        <f t="shared" si="8"/>
        <v>486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3592</v>
      </c>
      <c r="Z21" s="974">
        <f t="shared" si="9"/>
        <v>646</v>
      </c>
      <c r="AA21" s="975">
        <f t="shared" si="9"/>
        <v>6156</v>
      </c>
      <c r="AB21" s="975">
        <f t="shared" si="9"/>
        <v>0</v>
      </c>
      <c r="AC21" s="975">
        <f t="shared" si="9"/>
        <v>0</v>
      </c>
      <c r="AD21" s="976">
        <f t="shared" si="9"/>
        <v>0</v>
      </c>
      <c r="AE21" s="976">
        <f t="shared" si="9"/>
        <v>9382</v>
      </c>
      <c r="AF21" s="977">
        <f t="shared" si="9"/>
        <v>0</v>
      </c>
      <c r="AG21" s="978">
        <f t="shared" si="9"/>
        <v>0</v>
      </c>
      <c r="AH21" s="979">
        <f t="shared" si="9"/>
        <v>0</v>
      </c>
      <c r="AI21" s="977">
        <f t="shared" si="9"/>
        <v>0</v>
      </c>
      <c r="AJ21" s="967">
        <f t="shared" si="9"/>
        <v>964</v>
      </c>
      <c r="AK21" s="967">
        <f t="shared" si="9"/>
        <v>3054</v>
      </c>
      <c r="AL21" s="967">
        <f t="shared" si="9"/>
        <v>0</v>
      </c>
      <c r="AM21" s="980">
        <f t="shared" si="9"/>
        <v>0</v>
      </c>
      <c r="AN21" s="970">
        <f>IF(ISNUMBER(Datos!K21/Datos!J21),Datos!K21/Datos!J21," - ")</f>
        <v>1.0301700493691717</v>
      </c>
      <c r="AO21" s="970">
        <f>IF(ISNUMBER(FIND("06",Criterios!A8,1)),(IF(ISNUMBER(((Datos!R21/Datos!Q21)*11)/factor_trimestre),((Datos!R21/Datos!Q21)*11)/factor_trimestre," - ")),(IF(ISNUMBER(((Datos!L21/Datos!K21)*11)/factor_trimestre),((Datos!L21/Datos!K21)*11)/factor_trimestre," - ")))</f>
        <v>7.341853035143771</v>
      </c>
      <c r="AP21" s="981" t="str">
        <f>IF(ISNUMBER(Datos!CI21/Datos!CJ21),Datos!CI21/Datos!CJ21," - ")</f>
        <v xml:space="preserve"> - </v>
      </c>
      <c r="AQ21" s="981">
        <f>IF(OR(ISNUMBER(FIND("01",Criterios!A8,1)),ISNUMBER(FIND("02",Criterios!A8,1)),ISNUMBER(FIND("03",Criterios!A8,1)),ISNUMBER(FIND("04",Criterios!A8,1))),(J21-Y21+K21)/(F21-K21),(I21-Y21+K21)/(F21-K21))</f>
        <v>-0.59707446808510634</v>
      </c>
      <c r="AR21" s="981">
        <f>IF(ISNUMBER((Datos!P21-Datos!Q21+O21)/(Datos!R21-Datos!P21+Datos!Q21-O21)),(Datos!P21-Datos!Q21+O21)/(Datos!R21-Datos!P21+Datos!Q21-O21)," - ")</f>
        <v>-1.6767973171242925E-2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2526.4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3379.8084758360692</v>
      </c>
      <c r="G23" s="601">
        <f>IF(ISNUMBER(STDEV(G8:G20)),STDEV(G8:G20),"-")</f>
        <v>3195.5844222927362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235.4125456866449</v>
      </c>
      <c r="AK23" s="257"/>
      <c r="AL23" s="257">
        <f>IF(ISNUMBER(STDEV(AL8:AL20)),STDEV(AL8:AL20),"-")</f>
        <v>0</v>
      </c>
      <c r="AM23" s="259">
        <f>IF(ISNUMBER(STDEV(AM8:AM20)),STDEV(AM8:AM20),"-")</f>
        <v>0</v>
      </c>
      <c r="AN23" s="587">
        <f>IF(ISNUMBER(STDEV(AN8:AN20)),STDEV(AN8:AN20),"-")</f>
        <v>0</v>
      </c>
      <c r="AO23" s="588">
        <f>IF(ISNUMBER(STDEV(AO8:AO20)),STDEV(AO8:AO20),"-")</f>
        <v>2.9083953649533592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l45GbKsEhAXP2ogAjeTt+lOH+Whq1d7/5W/orBIGjPxrU93hz6qPrwnT9kXyRRKnHBQwqZoEapbM/kqq99tAw==" saltValue="FfAhKobjPhzpROOtqlvF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oPwF9ZrDNaiKKtJK1dZMNMl65rYE2RqSzocg0xLJ8AMpE6t5j3xW9mNbcCdZVtghvb2qRXy3xD/GMT2lU4PVw==" saltValue="LYR1H5S7dsJIC2dvswbb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0ETWHd/c51lLdtiebKT0E+28M0Uzbco9VLHZ7nCk9aTQ3/r5dGQ8zN6OSr0+3UEP5tf2JaBiirkERYKItYwA==" saltValue="k930NpnvYjZ64mM0aSkR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GIRONA  Resumenes por Partidos Judiciales  FIGUERES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0.23809523809523808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0.16835875742536846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yufaqBRri9F8z/EcMMQaEI5oKqYmxNcPzNcnR3WTzdTVQO/MpOeOav9amaYdgUf+tG14t3YacpZbLQ3842amQ==" saltValue="jT8MBzgpMYsGwaKS2bla1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SiL1ttiztVZAWT/F7sARyESwO+lumOCUt99Gp09lXEVmQp0cNL6ka8AgeEFJR3RDhxOo5TtVaZzz0g47pN9Ilg==" saltValue="RpUxQtqnMr74fQ6ketsN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GIRONA</v>
      </c>
      <c r="D3" s="400"/>
      <c r="E3" s="400"/>
      <c r="F3" s="400"/>
    </row>
    <row r="4" spans="1:14" ht="13.5" thickBot="1">
      <c r="A4" s="400"/>
      <c r="B4" s="403" t="str">
        <f>Criterios!A11 &amp;"  "&amp;Criterios!B11</f>
        <v>Resumenes por Partidos Judiciales  FIGUERES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81</v>
      </c>
      <c r="D10" s="416">
        <f>IF(ISNUMBER(C10/Datos!BH10),C10/Datos!BH10," - ")</f>
        <v>81</v>
      </c>
      <c r="E10" s="415">
        <f>IF(ISNUMBER(Datos!J10),Datos!J10," - ")</f>
        <v>32</v>
      </c>
      <c r="F10" s="416">
        <f>IF(ISNUMBER(E10/B10),E10/B10," - ")</f>
        <v>32</v>
      </c>
      <c r="G10" s="415">
        <f>IF(ISNUMBER(Datos!K10),Datos!K10," - ")</f>
        <v>43</v>
      </c>
      <c r="H10" s="416">
        <f>IF(ISNUMBER(G10/B10),G10/B10," - ")</f>
        <v>43</v>
      </c>
      <c r="I10" s="415">
        <f>IF(ISNUMBER(Datos!L10),Datos!L10," - ")</f>
        <v>70</v>
      </c>
      <c r="J10" s="416">
        <f>IF(ISNUMBER(I10/B10),I10/B10," - ")</f>
        <v>70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7668</v>
      </c>
      <c r="D12" s="416">
        <f>IF(ISNUMBER(C12/Datos!BH12),C12/Datos!BH12," - ")</f>
        <v>958.5</v>
      </c>
      <c r="E12" s="415">
        <f>IF(ISNUMBER(IF(J_V="SI",Datos!J12,Datos!J12+Datos!Z12)),IF(J_V="SI",Datos!J12,Datos!J12+Datos!Z12)," - ")</f>
        <v>2262</v>
      </c>
      <c r="F12" s="416">
        <f>IF(ISNUMBER(E12/B12),E12/B12," - ")</f>
        <v>282.75</v>
      </c>
      <c r="G12" s="415">
        <f>IF(ISNUMBER(IF(J_V="SI",Datos!K12,Datos!K12+Datos!AA12)),IF(J_V="SI",Datos!K12,Datos!K12+Datos!AA12)," - ")</f>
        <v>2141</v>
      </c>
      <c r="H12" s="416">
        <f>IF(ISNUMBER(G12/B12),G12/B12," - ")</f>
        <v>267.625</v>
      </c>
      <c r="I12" s="415">
        <f>IF(ISNUMBER(IF(J_V="SI",Datos!L12,Datos!L12+Datos!AB12)),IF(J_V="SI",Datos!L12,Datos!L12+Datos!AB12)," - ")</f>
        <v>7792</v>
      </c>
      <c r="J12" s="416">
        <f>IF(ISNUMBER(I12/B12),I12/B12," - ")</f>
        <v>974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7749</v>
      </c>
      <c r="D14" s="997" t="str">
        <f>IF(ISNUMBER(C14/Datos!BI14),C14/Datos!BI14," - ")</f>
        <v xml:space="preserve"> - </v>
      </c>
      <c r="E14" s="996">
        <f>SUBTOTAL(9,E8:E13)</f>
        <v>2294</v>
      </c>
      <c r="F14" s="997">
        <f>IF(ISNUMBER(E14/B14),E14/B14," - ")</f>
        <v>286.75</v>
      </c>
      <c r="G14" s="996">
        <f>SUBTOTAL(9,G8:G13)</f>
        <v>2184</v>
      </c>
      <c r="H14" s="997">
        <f>IF(ISNUMBER(G14/B14),G14/B14," - ")</f>
        <v>273</v>
      </c>
      <c r="I14" s="996">
        <f>SUBTOTAL(9,I8:I13)</f>
        <v>7862</v>
      </c>
      <c r="J14" s="997">
        <f>IF(ISNUMBER(I14/B14),I14/B14," - ")</f>
        <v>982.75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5804</v>
      </c>
      <c r="D17" s="416">
        <f>IF(ISNUMBER(C17/Datos!BH17),C17/Datos!BH17," - ")</f>
        <v>725.5</v>
      </c>
      <c r="E17" s="415">
        <f>IF(ISNUMBER(IF(D_I="SI",Datos!J17,Datos!J17+Datos!AD17)),IF(D_I="SI",Datos!J17,Datos!J17+Datos!AD17)," - ")</f>
        <v>3084</v>
      </c>
      <c r="F17" s="416">
        <f>IF(ISNUMBER(E17/B17),E17/B17," - ")</f>
        <v>385.5</v>
      </c>
      <c r="G17" s="415">
        <f>IF(ISNUMBER(IF(D_I="SI",Datos!K17,Datos!K17+Datos!AE17)),IF(D_I="SI",Datos!K17,Datos!K17+Datos!AE17)," - ")</f>
        <v>3343</v>
      </c>
      <c r="H17" s="416">
        <f>IF(ISNUMBER(G17/B17),G17/B17," - ")</f>
        <v>417.875</v>
      </c>
      <c r="I17" s="415">
        <f>IF(ISNUMBER(IF(D_I="SI",Datos!L17,Datos!L17+Datos!AF17)),IF(D_I="SI",Datos!L17,Datos!L17+Datos!AF17)," - ")</f>
        <v>5676</v>
      </c>
      <c r="J17" s="416">
        <f>IF(ISNUMBER(I17/B17),I17/B17," - ")</f>
        <v>709.5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431</v>
      </c>
      <c r="D18" s="416">
        <f>IF(ISNUMBER(C18/Datos!BH18),C18/Datos!BH18," - ")</f>
        <v>431</v>
      </c>
      <c r="E18" s="415">
        <f>IF(ISNUMBER(IF(D_I="SI",Datos!J18,Datos!J18+Datos!AD18)),IF(D_I="SI",Datos!J18,Datos!J18+Datos!AD18)," - ")</f>
        <v>185</v>
      </c>
      <c r="F18" s="416">
        <f>IF(ISNUMBER(E18/B18),E18/B18," - ")</f>
        <v>185</v>
      </c>
      <c r="G18" s="415">
        <f>IF(ISNUMBER(IF(D_I="SI",Datos!K18,Datos!K18+Datos!AE18)),IF(D_I="SI",Datos!K18,Datos!K18+Datos!AE18)," - ")</f>
        <v>206</v>
      </c>
      <c r="H18" s="416">
        <f>IF(ISNUMBER(G18/B18),G18/B18," - ")</f>
        <v>206</v>
      </c>
      <c r="I18" s="415">
        <f>IF(ISNUMBER(IF(D_I="SI",Datos!L18,Datos!L18+Datos!AF18)),IF(D_I="SI",Datos!L18,Datos!L18+Datos!AF18)," - ")</f>
        <v>410</v>
      </c>
      <c r="J18" s="416">
        <f>IF(ISNUMBER(I18/B18),I18/B18," - ")</f>
        <v>410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6235</v>
      </c>
      <c r="D20" s="997" t="str">
        <f>IF(ISNUMBER(C20/Datos!BI20),C20/Datos!BI20," - ")</f>
        <v xml:space="preserve"> - </v>
      </c>
      <c r="E20" s="996">
        <f>SUBTOTAL(9,E15:E19)</f>
        <v>3269</v>
      </c>
      <c r="F20" s="997">
        <f>IF(ISNUMBER(E20/B20),E20/B20," - ")</f>
        <v>408.625</v>
      </c>
      <c r="G20" s="996">
        <f>SUBTOTAL(9,G15:G19)</f>
        <v>3549</v>
      </c>
      <c r="H20" s="997">
        <f>IF(ISNUMBER(G20/B20),G20/B20," - ")</f>
        <v>443.625</v>
      </c>
      <c r="I20" s="996">
        <f>SUBTOTAL(9,I15:I19)</f>
        <v>6086</v>
      </c>
      <c r="J20" s="997">
        <f>IF(ISNUMBER(I20/B20),I20/B20," - ")</f>
        <v>760.75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13984</v>
      </c>
      <c r="D21" s="942" t="str">
        <f>IF(ISNUMBER(C21/Datos!BI21),C21/Datos!BI21," - ")</f>
        <v xml:space="preserve"> - </v>
      </c>
      <c r="E21" s="941">
        <f>SUBTOTAL(9,E9:E20)</f>
        <v>5563</v>
      </c>
      <c r="F21" s="942">
        <f>IF(ISNUMBER(E21/B21),E21/B21," - ")</f>
        <v>695.375</v>
      </c>
      <c r="G21" s="941">
        <f>SUBTOTAL(9,G9:G20)</f>
        <v>5733</v>
      </c>
      <c r="H21" s="942">
        <f>IF(ISNUMBER(G21/B21),G21/B21," - ")</f>
        <v>716.625</v>
      </c>
      <c r="I21" s="941">
        <f>SUBTOTAL(9,I9:I20)</f>
        <v>13948</v>
      </c>
      <c r="J21" s="942">
        <f>IF(ISNUMBER(I21/B21),I21/B21," - ")</f>
        <v>1743.5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dGU3faFSngilog6PfY1C/5TY8E813HrhraU3P5arWVGpW0pOUWWAoFc1c0doxfWd58JxSozXxoDNdByuFeukGQ==" saltValue="rZZYW2aJlyiXmdnGCnYlS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GIRONA  Resumenes por Partidos Judiciales  FIGUERES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81</v>
      </c>
      <c r="G10" s="803">
        <f>IF(ISNUMBER(Datos!I10),Datos!I10," - ")</f>
        <v>81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43</v>
      </c>
      <c r="AC10" s="802" t="str">
        <f>IF(ISNUMBER(IF(D_I="SI",DatosP!K18,DatosP!K18+DatosP!AE18)),IF(D_I="SI",DatosP!K18,DatosP!K18+DatosP!AE18)," - ")</f>
        <v xml:space="preserve"> - </v>
      </c>
      <c r="AD10" s="804"/>
      <c r="AE10" s="804"/>
      <c r="AF10" s="807">
        <f>IF(ISNUMBER(Datos!L10),Datos!L10,"-")</f>
        <v>70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25</v>
      </c>
      <c r="AM10" s="811">
        <f>IF(ISNUMBER(Datos!N10+DatosP!N18),Datos!N10+DatosP!N18," - ")</f>
        <v>11</v>
      </c>
      <c r="AN10" s="811">
        <f>IF(ISNUMBER(Datos!BW10+DatosP!BW18),Datos!BW10+DatosP!BW18," - ")</f>
        <v>0</v>
      </c>
      <c r="AO10" s="812">
        <f>IF(ISNUMBER(Datos!BX10+DatosP!BX18),Datos!BX10+DatosP!BX18," - ")</f>
        <v>0</v>
      </c>
      <c r="AP10" s="814">
        <f>IF(ISNUMBER(((Datos!L10/Datos!K10)*11)/factor_trimestre),((Datos!L10/Datos!K10)*11)/factor_trimestre," - ")</f>
        <v>4.8837209302325579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405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586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8946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495</v>
      </c>
      <c r="AM12" s="811">
        <f>IF(ISNUMBER(Datos!N12+DatosP!N17),Datos!N12+DatosP!N17," - ")</f>
        <v>959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10.918262494161608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-1.9831269858661116E-2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81</v>
      </c>
      <c r="G14" s="1085">
        <f t="shared" si="0"/>
        <v>81</v>
      </c>
      <c r="H14" s="1085">
        <f t="shared" si="0"/>
        <v>0</v>
      </c>
      <c r="I14" s="1087">
        <f t="shared" si="0"/>
        <v>0</v>
      </c>
      <c r="J14" s="1086">
        <f t="shared" si="0"/>
        <v>0</v>
      </c>
      <c r="K14" s="1086">
        <f t="shared" si="0"/>
        <v>0</v>
      </c>
      <c r="L14" s="1088">
        <f t="shared" si="0"/>
        <v>0</v>
      </c>
      <c r="M14" s="1088">
        <f t="shared" si="0"/>
        <v>0</v>
      </c>
      <c r="N14" s="1086">
        <f t="shared" si="0"/>
        <v>405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43</v>
      </c>
      <c r="AC14" s="1086">
        <f t="shared" si="1"/>
        <v>0</v>
      </c>
      <c r="AD14" s="1086">
        <f t="shared" si="1"/>
        <v>586</v>
      </c>
      <c r="AE14" s="1086">
        <f t="shared" si="1"/>
        <v>0</v>
      </c>
      <c r="AF14" s="1086">
        <f t="shared" si="1"/>
        <v>70</v>
      </c>
      <c r="AG14" s="1086">
        <f t="shared" si="1"/>
        <v>0</v>
      </c>
      <c r="AH14" s="1086">
        <f t="shared" si="1"/>
        <v>8946</v>
      </c>
      <c r="AI14" s="1086">
        <f t="shared" si="1"/>
        <v>0</v>
      </c>
      <c r="AJ14" s="1086">
        <f t="shared" si="1"/>
        <v>0</v>
      </c>
      <c r="AK14" s="1086">
        <f t="shared" si="1"/>
        <v>0</v>
      </c>
      <c r="AL14" s="1086">
        <f t="shared" si="1"/>
        <v>520</v>
      </c>
      <c r="AM14" s="1086">
        <f t="shared" si="1"/>
        <v>970</v>
      </c>
      <c r="AN14" s="1086">
        <f t="shared" si="1"/>
        <v>0</v>
      </c>
      <c r="AO14" s="1086">
        <f t="shared" si="1"/>
        <v>0</v>
      </c>
      <c r="AP14" s="1091">
        <f>IF(ISNUMBER(((Datos!L14/Datos!K14)*11)/factor_trimestre),((Datos!L14/Datos!K14)*11)/factor_trimestre," - ")</f>
        <v>11.08201438848921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-0.53086419753086422</v>
      </c>
      <c r="AU14" s="1086" t="str">
        <f>IF(ISNUMBER((DatosP!#REF!-DatosP!#REF!+DatosP!#REF!)/(DatosP!#REF!+DatosP!#REF!-DatosP!#REF!-DatosP!#REF!)),(DatosP!#REF!-DatosP!#REF!+DatosP!#REF!)/(DatosP!#REF!+DatosP!#REF!-DatosP!#REF!-DatosP!#REF!)," - ")</f>
        <v xml:space="preserve"> - </v>
      </c>
      <c r="AV14" s="1092">
        <f>SUBTOTAL(9,AV9:AV13)</f>
        <v>-1.9831269858661116E-2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5.144547759932375</v>
      </c>
      <c r="AQ20" s="1091">
        <f>IF(ISNUMBER(((Datos!M20/Datos!L20)*11)/factor_trimestre),((Datos!M20/Datos!L20)*11)/factor_trimestre," - ")</f>
        <v>0.21886296418008547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5.8823529411764705E-2</v>
      </c>
      <c r="AW20" s="1093">
        <f>IF(ISNUMBER((Datos!Q20-Datos!R20)/(Datos!S20-Datos!Q20+Datos!R20)),(Datos!Q20-Datos!R20)/(Datos!S20-Datos!Q20+Datos!R20)," - ")</f>
        <v>-6.348907309721176E-2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81</v>
      </c>
      <c r="G21" s="1098">
        <f t="shared" si="4"/>
        <v>81</v>
      </c>
      <c r="H21" s="1098">
        <f t="shared" si="4"/>
        <v>0</v>
      </c>
      <c r="I21" s="1099">
        <f t="shared" si="4"/>
        <v>0</v>
      </c>
      <c r="J21" s="1100">
        <f t="shared" si="4"/>
        <v>0</v>
      </c>
      <c r="K21" s="1100">
        <f t="shared" si="4"/>
        <v>0</v>
      </c>
      <c r="L21" s="1100">
        <f t="shared" si="4"/>
        <v>0</v>
      </c>
      <c r="M21" s="1100">
        <f t="shared" si="4"/>
        <v>0</v>
      </c>
      <c r="N21" s="1099">
        <f t="shared" si="4"/>
        <v>405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43</v>
      </c>
      <c r="AC21" s="1104">
        <f t="shared" si="5"/>
        <v>0</v>
      </c>
      <c r="AD21" s="1104">
        <f t="shared" si="5"/>
        <v>586</v>
      </c>
      <c r="AE21" s="1104">
        <f t="shared" si="5"/>
        <v>0</v>
      </c>
      <c r="AF21" s="1105">
        <f t="shared" si="5"/>
        <v>70</v>
      </c>
      <c r="AG21" s="1105">
        <f t="shared" si="5"/>
        <v>0</v>
      </c>
      <c r="AH21" s="1105">
        <f t="shared" si="5"/>
        <v>8946</v>
      </c>
      <c r="AI21" s="1105">
        <f t="shared" si="5"/>
        <v>0</v>
      </c>
      <c r="AJ21" s="1106">
        <f t="shared" si="5"/>
        <v>0</v>
      </c>
      <c r="AK21" s="1106">
        <f t="shared" si="5"/>
        <v>0</v>
      </c>
      <c r="AL21" s="1098">
        <f t="shared" si="5"/>
        <v>520</v>
      </c>
      <c r="AM21" s="1098">
        <f t="shared" si="5"/>
        <v>970</v>
      </c>
      <c r="AN21" s="1098">
        <f t="shared" si="5"/>
        <v>0</v>
      </c>
      <c r="AO21" s="1098">
        <f t="shared" si="5"/>
        <v>0</v>
      </c>
      <c r="AP21" s="1098">
        <f>IF(ISNUMBER(((Datos!L21/Datos!K21)*11)/factor_trimestre),((Datos!L21/Datos!K21)*11)/factor_trimestre," - ")</f>
        <v>7.341853035143771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-0.53086419753086422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-1.6767973171242925E-2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3.9036002917941328</v>
      </c>
      <c r="F23" s="870">
        <f>IF(ISNUMBER(STDEV(F8:F20)),STDEV(F8:F20),"-")</f>
        <v>46.765371804359688</v>
      </c>
      <c r="G23" s="871">
        <f>IF(ISNUMBER(STDEV(G8:G20)),STDEV(G8:G20),"-")</f>
        <v>46.765371804359688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24.826061575153908</v>
      </c>
      <c r="AC23" s="872">
        <f>IF(ISNUMBER(STDEV(AC8:AC20)),STDEV(AC8:AC20),"-")</f>
        <v>0</v>
      </c>
      <c r="AD23" s="875"/>
      <c r="AE23" s="875"/>
      <c r="AF23" s="875"/>
      <c r="AG23" s="875"/>
      <c r="AH23" s="875"/>
      <c r="AI23" s="875"/>
      <c r="AJ23" s="876">
        <f>IF(ISNUMBER(STDEV(AJ8:AJ20)),STDEV(AJ8:AJ20),"-")</f>
        <v>0</v>
      </c>
      <c r="AK23" s="878"/>
      <c r="AL23" s="870">
        <f>IF(ISNUMBER(STDEV(AL8:AL20)),STDEV(AL8:AL20),"-")</f>
        <v>286.15263992025888</v>
      </c>
      <c r="AM23" s="870"/>
      <c r="AN23" s="870">
        <f>IF(ISNUMBER(STDEV(AN8:AN20)),STDEV(AN8:AN20),"-")</f>
        <v>0</v>
      </c>
      <c r="AO23" s="876">
        <f>IF(ISNUMBER(STDEV(AO8:AO20)),STDEV(AO8:AO20),"-")</f>
        <v>0</v>
      </c>
      <c r="AP23" s="923">
        <f>IF(ISNUMBER(STDEV(AP8:AP20)),STDEV(AP8:AP20),"-")</f>
        <v>3.4583072785796407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4B2KHIyygxd9iPEMXW8KsX6M5MSgIAkzqlMbNG3tD9daA+xhY39fZjozZI2S0teQC8X5nUpUQvEeYagXbLr/2g==" saltValue="ogb2Qn6TldbLHtm9f688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GIRONA</v>
      </c>
      <c r="C3" s="427"/>
      <c r="F3" s="400"/>
      <c r="G3" s="400"/>
      <c r="H3" s="400"/>
    </row>
    <row r="4" spans="1:15" ht="13.5" thickBot="1">
      <c r="A4" s="400"/>
      <c r="B4" s="403" t="str">
        <f>Criterios!A11 &amp;"  "&amp;Criterios!B11</f>
        <v>Resumenes por Partidos Judiciales  FIGUERES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4iqbauymWVapFt/JTzNx+47oKdL+Oi8g8o/jAlL1UfrrLp7dWiI7R666uV/lKdvsAk4YBbjTwRUpLU77py4gQ==" saltValue="wiJT1mkO2xmk5fuyprf+e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GIRONA</v>
      </c>
      <c r="C3" s="439"/>
      <c r="D3" s="440"/>
    </row>
    <row r="4" spans="1:9" ht="13.5" thickBot="1">
      <c r="B4" s="441" t="str">
        <f>Criterios!A11 &amp;"  "&amp;Criterios!B11</f>
        <v>Resumenes por Partidos Judiciales  FIGUERES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25</v>
      </c>
      <c r="E10" s="416">
        <f>IF(ISNUMBER(D10/B10),D10/B10," - ")</f>
        <v>25</v>
      </c>
      <c r="F10" s="415">
        <f>IF(ISNUMBER(Datos!N10),Datos!N10," - ")</f>
        <v>11</v>
      </c>
      <c r="G10" s="416">
        <f>IF(ISNUMBER(F10/B10),F10/B10," - ")</f>
        <v>11</v>
      </c>
      <c r="H10" s="415">
        <f>IF(ISNUMBER(Datos!O10),Datos!O10," - ")</f>
        <v>7</v>
      </c>
      <c r="I10" s="416">
        <f t="shared" ref="I10:I13" si="2">IF(ISNUMBER(H10/B10),H10/B10," - ")</f>
        <v>7</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495</v>
      </c>
      <c r="E12" s="416">
        <f t="shared" si="0"/>
        <v>61.875</v>
      </c>
      <c r="F12" s="415">
        <f>IF(ISNUMBER(Datos!N12),Datos!N12," - ")</f>
        <v>959</v>
      </c>
      <c r="G12" s="416">
        <f t="shared" si="1"/>
        <v>119.875</v>
      </c>
      <c r="H12" s="415">
        <f>IF(ISNUMBER(Datos!O12),Datos!O12," - ")</f>
        <v>825</v>
      </c>
      <c r="I12" s="416">
        <f t="shared" si="2"/>
        <v>103.125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8</v>
      </c>
      <c r="D14" s="996">
        <f>SUBTOTAL(9,D9:D13)</f>
        <v>520</v>
      </c>
      <c r="E14" s="997">
        <f t="shared" si="0"/>
        <v>57.777777777777779</v>
      </c>
      <c r="F14" s="996">
        <f>SUBTOTAL(9,F9:F13)</f>
        <v>970</v>
      </c>
      <c r="G14" s="997">
        <f t="shared" si="1"/>
        <v>107.77777777777777</v>
      </c>
      <c r="H14" s="996">
        <f>SUBTOTAL(9,H9:H13)</f>
        <v>832</v>
      </c>
      <c r="I14" s="997">
        <f>IF(ISNUMBER(H14/B14),H14/B14," - ")</f>
        <v>92.444444444444443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428</v>
      </c>
      <c r="E17" s="416">
        <f t="shared" si="3"/>
        <v>53.5</v>
      </c>
      <c r="F17" s="415">
        <f>IF(ISNUMBER(Datos!N17),Datos!N17," - ")</f>
        <v>1990</v>
      </c>
      <c r="G17" s="416">
        <f t="shared" si="4"/>
        <v>248.75</v>
      </c>
      <c r="H17" s="415">
        <f>IF(ISNUMBER(Datos!O17),Datos!O17," - ")</f>
        <v>30</v>
      </c>
      <c r="I17" s="416">
        <f t="shared" si="5"/>
        <v>3.75</v>
      </c>
    </row>
    <row r="18" spans="1:9">
      <c r="A18" s="414" t="str">
        <f>Datos!A18</f>
        <v>Jdos. Violencia contra la mujer</v>
      </c>
      <c r="B18" s="444">
        <f>Datos!AO18</f>
        <v>1</v>
      </c>
      <c r="C18" s="445">
        <f>Datos!AQ18</f>
        <v>0</v>
      </c>
      <c r="D18" s="415">
        <f>IF(ISNUMBER(Datos!M18),Datos!M18," - ")</f>
        <v>16</v>
      </c>
      <c r="E18" s="416">
        <f>IF(ISNUMBER(D18/B18),D18/B18," - ")</f>
        <v>16</v>
      </c>
      <c r="F18" s="415">
        <f>IF(ISNUMBER(Datos!N18),Datos!N18," - ")</f>
        <v>94</v>
      </c>
      <c r="G18" s="416">
        <f>IF(ISNUMBER(F18/B18),F18/B18," - ")</f>
        <v>94</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8</v>
      </c>
      <c r="D20" s="996">
        <f>SUBTOTAL(9,D16:D19)</f>
        <v>444</v>
      </c>
      <c r="E20" s="997">
        <f t="shared" si="3"/>
        <v>49.333333333333336</v>
      </c>
      <c r="F20" s="996">
        <f>SUBTOTAL(9,F16:F19)</f>
        <v>2084</v>
      </c>
      <c r="G20" s="997">
        <f t="shared" si="4"/>
        <v>231.55555555555554</v>
      </c>
      <c r="H20" s="996">
        <f>SUBTOTAL(9,H16:H19)</f>
        <v>31</v>
      </c>
      <c r="I20" s="997">
        <f>IF(ISNUMBER(H20/B20),H20/B20," - ")</f>
        <v>3.4444444444444446</v>
      </c>
    </row>
    <row r="21" spans="1:9" ht="14.25" thickTop="1" thickBot="1">
      <c r="A21" s="940" t="str">
        <f>Datos!A21</f>
        <v>TOTAL JURISDICCIONES</v>
      </c>
      <c r="B21" s="941">
        <f>Datos!AP21</f>
        <v>8</v>
      </c>
      <c r="C21" s="941">
        <f>Datos!AR21</f>
        <v>8</v>
      </c>
      <c r="D21" s="941">
        <f>SUBTOTAL(9,D8:D20)</f>
        <v>964</v>
      </c>
      <c r="E21" s="942">
        <f>IF(ISNUMBER(D21/B21),D21/B21," - ")</f>
        <v>120.5</v>
      </c>
      <c r="F21" s="941">
        <f>SUBTOTAL(9,F8:F20)</f>
        <v>3054</v>
      </c>
      <c r="G21" s="942">
        <f>IF(ISNUMBER(F21/B21),F21/B21," - ")</f>
        <v>381.75</v>
      </c>
      <c r="H21" s="941">
        <f>SUBTOTAL(9,H8:H20)</f>
        <v>863</v>
      </c>
      <c r="I21" s="942">
        <f>IF(ISNUMBER(H21/B21),H21/B21," - ")</f>
        <v>107.875</v>
      </c>
    </row>
    <row r="24" spans="1:9">
      <c r="A24" s="403" t="str">
        <f>Criterios!A4</f>
        <v>Fecha Informe: 06 jun. 2023</v>
      </c>
    </row>
    <row r="29" spans="1:9">
      <c r="A29" s="426"/>
    </row>
  </sheetData>
  <sheetProtection algorithmName="SHA-512" hashValue="83Ant+U5FqmBS7GSrUYqpYS1jittobz977p8uA6F0aQ7C/BUK2TRvJ5oI6zJo4i2BarQRI2UAiJ3U0gW2L1GoA==" saltValue="GNFk8WIHUVVvtCTOBK+S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GIRONA</v>
      </c>
    </row>
    <row r="4" spans="1:4" ht="13.5" thickBot="1">
      <c r="B4" s="403" t="str">
        <f>Criterios!A11 &amp;"  "&amp;Criterios!B11</f>
        <v>Resumenes por Partidos Judiciales  FIGUERES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40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405</v>
      </c>
      <c r="C12" s="451">
        <f>IF(ISNUMBER(Datos!Q12),Datos!Q12," - ")</f>
        <v>586</v>
      </c>
      <c r="D12" s="420">
        <f>IF(ISNUMBER(Datos!R12),Datos!R12," - ")</f>
        <v>8946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405</v>
      </c>
      <c r="C14" s="1000">
        <f>SUBTOTAL(9,C9:C13)</f>
        <v>587</v>
      </c>
      <c r="D14" s="998">
        <f>SUBTOTAL(9,D9:D13)</f>
        <v>8986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81</v>
      </c>
      <c r="C17" s="451">
        <f>IF(ISNUMBER(Datos!Q17),Datos!Q17," - ")</f>
        <v>58</v>
      </c>
      <c r="D17" s="420">
        <f>IF(ISNUMBER(Datos!R17),Datos!R17," - ")</f>
        <v>394</v>
      </c>
    </row>
    <row r="18" spans="1:4">
      <c r="A18" s="414" t="str">
        <f>Datos!A18</f>
        <v>Jdos. Violencia contra la mujer</v>
      </c>
      <c r="B18" s="450">
        <f>IF(ISNUMBER(Datos!P18),Datos!P18," - ")</f>
        <v>0</v>
      </c>
      <c r="C18" s="451">
        <f>IF(ISNUMBER(Datos!Q18),Datos!Q18," - ")</f>
        <v>1</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81</v>
      </c>
      <c r="C20" s="1000">
        <f>SUBTOTAL(9,C16:C19)</f>
        <v>59</v>
      </c>
      <c r="D20" s="998">
        <f>SUBTOTAL(9,D16:D19)</f>
        <v>396</v>
      </c>
    </row>
    <row r="21" spans="1:4" ht="16.5" customHeight="1" thickTop="1" thickBot="1">
      <c r="A21" s="940" t="str">
        <f>Datos!A21</f>
        <v>TOTAL JURISDICCIONES</v>
      </c>
      <c r="B21" s="945">
        <f>SUBTOTAL(9,B8:B20)</f>
        <v>486</v>
      </c>
      <c r="C21" s="946">
        <f>SUBTOTAL(9,C8:C20)</f>
        <v>646</v>
      </c>
      <c r="D21" s="947">
        <f>SUBTOTAL(9,D8:D20)</f>
        <v>9382</v>
      </c>
    </row>
    <row r="22" spans="1:4" ht="7.5" customHeight="1"/>
    <row r="23" spans="1:4" ht="6" customHeight="1"/>
    <row r="24" spans="1:4">
      <c r="A24" s="403" t="str">
        <f>Criterios!A4</f>
        <v>Fecha Informe: 06 jun. 2023</v>
      </c>
    </row>
    <row r="29" spans="1:4">
      <c r="A29" s="426"/>
    </row>
  </sheetData>
  <sheetProtection algorithmName="SHA-512" hashValue="VDi6IrStTSGhrvxLCe8tqAYIMiuT1rwQi2YP3C0gxvqnP62x/hCWwGYa6KzULr/stNeaIZvwzqxL68r1/x5cvg==" saltValue="f4gdeJn9oB/ae1fjCUdn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GIRONA</v>
      </c>
    </row>
    <row r="4" spans="1:11" ht="10.5" customHeight="1" thickBot="1">
      <c r="B4" s="403" t="str">
        <f>Criterios!A11 &amp;"  "&amp;Criterios!B11</f>
        <v>Resumenes por Partidos Judiciales  FIGUERES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-0.19801980198019803</v>
      </c>
      <c r="C10" s="473">
        <f>IF(ISNUMBER((Datos!J10-Datos!T10)/Datos!T10),(Datos!J10-Datos!T10)/Datos!T10," - ")</f>
        <v>0.52380952380952384</v>
      </c>
      <c r="D10" s="473">
        <f>IF(ISNUMBER((Datos!K10-Datos!U10)/Datos!U10),(Datos!K10-Datos!U10)/Datos!U10," - ")</f>
        <v>4.878048780487805E-2</v>
      </c>
      <c r="E10" s="473">
        <f>IF(ISNUMBER((Datos!L10-Datos!V10)/Datos!V10),(Datos!L10-Datos!V10)/Datos!V10," - ")</f>
        <v>-0.13580246913580246</v>
      </c>
      <c r="F10" s="473">
        <f>IF(ISNUMBER((Datos!M10-Datos!W10)/Datos!W10),(Datos!M10-Datos!W10)/Datos!W10," - ")</f>
        <v>1.5</v>
      </c>
      <c r="G10" s="474">
        <f>IF(ISNUMBER((Datos!N10-Datos!X10)/Datos!X10),(Datos!N10-Datos!X10)/Datos!X10," - ")</f>
        <v>0.375</v>
      </c>
      <c r="H10" s="472">
        <f>IF(ISNUMBER(((NºAsuntos!G10/NºAsuntos!E10)-Datos!BD10)/Datos!BD10),((NºAsuntos!G10/NºAsuntos!E10)-Datos!BD10)/Datos!BD10," - ")</f>
        <v>-0.31173780487804875</v>
      </c>
      <c r="I10" s="473">
        <f>IF(ISNUMBER(((NºAsuntos!I10/NºAsuntos!G10)-Datos!BE10)/Datos!BE10),((NºAsuntos!I10/NºAsuntos!G10)-Datos!BE10)/Datos!BE10," - ")</f>
        <v>-0.17599770312948607</v>
      </c>
      <c r="J10" s="478">
        <f>IF(ISNUMBER((('Resol  Asuntos'!D10/NºAsuntos!G10)-Datos!BF10)/Datos!BF10),(('Resol  Asuntos'!D10/NºAsuntos!G10)-Datos!BF10)/Datos!BF10," - ")</f>
        <v>1.3837209302325584</v>
      </c>
      <c r="K10" s="479">
        <f>IF(ISNUMBER((((NºAsuntos!C10+NºAsuntos!E10)/NºAsuntos!G10)-Datos!BG10)/Datos!BG10),(((NºAsuntos!C10+NºAsuntos!E10)/NºAsuntos!G10)-Datos!BG10)/Datos!BG10," - ")</f>
        <v>-0.11685093404498673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0.231609380019274</v>
      </c>
      <c r="C12" s="473">
        <f>IF(ISNUMBER(
   IF(J_V="SI",(Datos!J12-Datos!T12)/Datos!T12,(Datos!J12+Datos!Z12-(Datos!T12+Datos!AH12))/(Datos!T12+Datos!AH12))
     ),IF(J_V="SI",(Datos!J12-Datos!T12)/Datos!T12,(Datos!J12+Datos!Z12-(Datos!T12+Datos!AH12))/(Datos!T12+Datos!AH12))," - ")</f>
        <v>0.18305439330543932</v>
      </c>
      <c r="D12" s="473">
        <f>IF(ISNUMBER(
   IF(J_V="SI",(Datos!K12-Datos!U12)/Datos!U12,(Datos!K12+Datos!AA12-(Datos!U12+Datos!AI12))/(Datos!U12+Datos!AI12))
     ),IF(J_V="SI",(Datos!K12-Datos!U12)/Datos!U12,(Datos!K12+Datos!AA12-(Datos!U12+Datos!AI12))/(Datos!U12+Datos!AI12))," - ")</f>
        <v>0.36805111821086262</v>
      </c>
      <c r="E12" s="473">
        <f>IF(ISNUMBER(
   IF(J_V="SI",(Datos!L12-Datos!V12)/Datos!V12,(Datos!L12+Datos!AB12-(Datos!V12+Datos!AJ12))/(Datos!V12+Datos!AJ12))
     ),IF(J_V="SI",(Datos!L12-Datos!V12)/Datos!V12,(Datos!L12+Datos!AB12-(Datos!V12+Datos!AJ12))/(Datos!V12+Datos!AJ12))," - ")</f>
        <v>0.1726109857035365</v>
      </c>
      <c r="F12" s="473">
        <f>IF(ISNUMBER((Datos!M12-Datos!W12)/Datos!W12),(Datos!M12-Datos!W12)/Datos!W12," - ")</f>
        <v>0.26598465473145783</v>
      </c>
      <c r="G12" s="474">
        <f>IF(ISNUMBER((Datos!N12-Datos!X12)/Datos!X12),(Datos!N12-Datos!X12)/Datos!X12," - ")</f>
        <v>0.85493230174081236</v>
      </c>
      <c r="H12" s="472">
        <f>IF(ISNUMBER(((NºAsuntos!G12/NºAsuntos!E12)-Datos!BD12)/Datos!BD12),((NºAsuntos!G12/NºAsuntos!E12)-Datos!BD12)/Datos!BD12," - ")</f>
        <v>0.15637212114021623</v>
      </c>
      <c r="I12" s="473">
        <f>IF(ISNUMBER(((NºAsuntos!I12/NºAsuntos!G12)-Datos!BE12)/Datos!BE12),((NºAsuntos!I12/NºAsuntos!G12)-Datos!BE12)/Datos!BE12," - ")</f>
        <v>-0.14286025566275837</v>
      </c>
      <c r="J12" s="478">
        <f>IF(ISNUMBER((('Resol  Asuntos'!D12/NºAsuntos!G12)-Datos!BF12)/Datos!BF12),(('Resol  Asuntos'!D12/NºAsuntos!G12)-Datos!BF12)/Datos!BF12," - ")</f>
        <v>-0.30013813390044419</v>
      </c>
      <c r="K12" s="479">
        <f>IF(ISNUMBER((((NºAsuntos!C12+NºAsuntos!E12)/NºAsuntos!G12)-Datos!BG12)/Datos!BG12),(((NºAsuntos!C12+NºAsuntos!E12)/NºAsuntos!G12)-Datos!BG12)/Datos!BG12," - ")</f>
        <v>-0.10807315057665369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0.22475106685633001</v>
      </c>
      <c r="C14" s="1002">
        <f>IF(ISNUMBER(
   IF(J_V="SI",(Datos!J14-Datos!T14)/Datos!T14,(Datos!J14+Datos!Z14-(Datos!T14+Datos!AH14))/(Datos!T14+Datos!AH14))
     ),IF(J_V="SI",(Datos!J14-Datos!T14)/Datos!T14,(Datos!J14+Datos!Z14-(Datos!T14+Datos!AH14))/(Datos!T14+Datos!AH14))," - ")</f>
        <v>0.18675633729953439</v>
      </c>
      <c r="D14" s="1002">
        <f>IF(ISNUMBER(
   IF(J_V="SI",(Datos!K14-Datos!U14)/Datos!U14,(Datos!K14+Datos!AA14-(Datos!U14+Datos!AI14))/(Datos!U14+Datos!AI14))
     ),IF(J_V="SI",(Datos!K14-Datos!U14)/Datos!U14,(Datos!K14+Datos!AA14-(Datos!U14+Datos!AI14))/(Datos!U14+Datos!AI14))," - ")</f>
        <v>0.35990037359900373</v>
      </c>
      <c r="E14" s="1002">
        <f>IF(ISNUMBER(
   IF(J_V="SI",(Datos!L14-Datos!V14)/Datos!V14,(Datos!L14+Datos!AB14-(Datos!V14+Datos!AJ14))/(Datos!V14+Datos!AJ14))
     ),IF(J_V="SI",(Datos!L14-Datos!V14)/Datos!V14,(Datos!L14+Datos!AB14-(Datos!V14+Datos!AJ14))/(Datos!V14+Datos!AJ14))," - ")</f>
        <v>0.16889681831697889</v>
      </c>
      <c r="F14" s="1003">
        <f>IF(ISNUMBER((Datos!M14-Datos!W14)/Datos!W14),(Datos!M14-Datos!W14)/Datos!W14," - ")</f>
        <v>0.29675810473815462</v>
      </c>
      <c r="G14" s="1004">
        <f>IF(ISNUMBER((Datos!N14-Datos!X14)/Datos!X14),(Datos!N14-Datos!X14)/Datos!X14," - ")</f>
        <v>0.84761904761904761</v>
      </c>
      <c r="H14" s="1004">
        <f>IF(ISNUMBER(((NºAsuntos!G14/NºAsuntos!E14)-Datos!BD14)/Datos!BD14),((NºAsuntos!G14/NºAsuntos!E14)-Datos!BD14)/Datos!BD14," - ")</f>
        <v>0.14589687104048568</v>
      </c>
      <c r="I14" s="1004">
        <f>IF(ISNUMBER(((NºAsuntos!I14/NºAsuntos!G14)-Datos!BE14)/Datos!BE14),((NºAsuntos!I14/NºAsuntos!G14)-Datos!BE14)/Datos!BE14," - ")</f>
        <v>-0.14045407957093956</v>
      </c>
      <c r="J14" s="1004">
        <f>IF(ISNUMBER((('Resol  Asuntos'!D14/NºAsuntos!G14)-Datos!BF14)/Datos!BF14),(('Resol  Asuntos'!D14/NºAsuntos!G14)-Datos!BF14)/Datos!BF14," - ")</f>
        <v>-0.27441944519743383</v>
      </c>
      <c r="K14" s="1004">
        <f>IF(ISNUMBER((((NºAsuntos!C14+NºAsuntos!E14)/NºAsuntos!G14)-Datos!BG14)/Datos!BG14),(((NºAsuntos!C14+NºAsuntos!E14)/NºAsuntos!G14)-Datos!BG14)/Datos!BG14," - ")</f>
        <v>-0.1059201190254459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0.22784006769621323</v>
      </c>
      <c r="C17" s="473">
        <f>IF(ISNUMBER(
   IF(D_I="SI",(Datos!J17-Datos!T17)/Datos!T17,(Datos!J17+Datos!AD17-(Datos!T17+Datos!AL17))/(Datos!T17+Datos!AL17))
     ),IF(D_I="SI",(Datos!J17-Datos!T17)/Datos!T17,(Datos!J17+Datos!AD17-(Datos!T17+Datos!AL17))/(Datos!T17+Datos!AL17))," - ")</f>
        <v>1.7150395778364115E-2</v>
      </c>
      <c r="D17" s="473">
        <f>IF(ISNUMBER(
   IF(D_I="SI",(Datos!K17-Datos!U17)/Datos!U17,(Datos!K17+Datos!AE17-(Datos!U17+Datos!AM17))/(Datos!U17+Datos!AM17))
     ),IF(D_I="SI",(Datos!K17-Datos!U17)/Datos!U17,(Datos!K17+Datos!AE17-(Datos!U17+Datos!AM17))/(Datos!U17+Datos!AM17))," - ")</f>
        <v>8.0129240710823904E-2</v>
      </c>
      <c r="E17" s="473">
        <f>IF(ISNUMBER(
   IF(D_I="SI",(Datos!L17-Datos!V17)/Datos!V17,(Datos!L17+Datos!AF17-(Datos!V17+Datos!AN17))/(Datos!V17+Datos!AN17))
     ),IF(D_I="SI",(Datos!L17-Datos!V17)/Datos!V17,(Datos!L17+Datos!AF17-(Datos!V17+Datos!AN17))/(Datos!V17+Datos!AN17))," - ")</f>
        <v>0.20971867007672634</v>
      </c>
      <c r="F17" s="473">
        <f>IF(ISNUMBER((Datos!M17-Datos!W17)/Datos!W17),(Datos!M17-Datos!W17)/Datos!W17," - ")</f>
        <v>0.15053763440860216</v>
      </c>
      <c r="G17" s="474">
        <f>IF(ISNUMBER((Datos!N17-Datos!X17)/Datos!X17),(Datos!N17-Datos!X17)/Datos!X17," - ")</f>
        <v>0.11547085201793722</v>
      </c>
      <c r="H17" s="472">
        <f>IF(ISNUMBER(((NºAsuntos!G17/NºAsuntos!E17)-Datos!BD17)/Datos!BD17),((NºAsuntos!G17/NºAsuntos!E17)-Datos!BD17)/Datos!BD17," - ")</f>
        <v>6.1916944823352069E-2</v>
      </c>
      <c r="I17" s="473">
        <f>IF(ISNUMBER(((NºAsuntos!I17/NºAsuntos!G17)-Datos!BE17)/Datos!BE17),((NºAsuntos!I17/NºAsuntos!G17)-Datos!BE17)/Datos!BE17," - ")</f>
        <v>0.11997585518620033</v>
      </c>
      <c r="J17" s="478">
        <f>IF(ISNUMBER((('Resol  Asuntos'!D17/NºAsuntos!G17)-Datos!BF17)/Datos!BF17),(('Resol  Asuntos'!D17/NºAsuntos!G17)-Datos!BF17)/Datos!BF17," - ")</f>
        <v>6.518515659426366E-2</v>
      </c>
      <c r="K17" s="479">
        <f>IF(ISNUMBER((((NºAsuntos!C17+NºAsuntos!E17)/NºAsuntos!G17)-Datos!BG17)/Datos!BG17),(((NºAsuntos!C17+NºAsuntos!E17)/NºAsuntos!G17)-Datos!BG17)/Datos!BG17," - ")</f>
        <v>6.0529053963636947E-2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0.76639344262295084</v>
      </c>
      <c r="C18" s="473">
        <f>IF(ISNUMBER(
   IF(D_I="SI",(Datos!J18-Datos!T18)/Datos!T18,(Datos!J18+Datos!AD18-(Datos!T18+Datos!AL18))/(Datos!T18+Datos!AL18))
     ),IF(D_I="SI",(Datos!J18-Datos!T18)/Datos!T18,(Datos!J18+Datos!AD18-(Datos!T18+Datos!AL18))/(Datos!T18+Datos!AL18))," - ")</f>
        <v>0.54166666666666663</v>
      </c>
      <c r="D18" s="473">
        <f>IF(ISNUMBER(
   IF(D_I="SI",(Datos!K18-Datos!U18)/Datos!U18,(Datos!K18+Datos!AE18-(Datos!U18+Datos!AM18))/(Datos!U18+Datos!AM18))
     ),IF(D_I="SI",(Datos!K18-Datos!U18)/Datos!U18,(Datos!K18+Datos!AE18-(Datos!U18+Datos!AM18))/(Datos!U18+Datos!AM18))," - ")</f>
        <v>0.64800000000000002</v>
      </c>
      <c r="E18" s="473">
        <f>IF(ISNUMBER(
   IF(D_I="SI",(Datos!L18-Datos!V18)/Datos!V18,(Datos!L18+Datos!AF18-(Datos!V18+Datos!AN18))/(Datos!V18+Datos!AN18))
     ),IF(D_I="SI",(Datos!L18-Datos!V18)/Datos!V18,(Datos!L18+Datos!AF18-(Datos!V18+Datos!AN18))/(Datos!V18+Datos!AN18))," - ")</f>
        <v>0.70833333333333337</v>
      </c>
      <c r="F18" s="473">
        <f>IF(ISNUMBER((Datos!M18-Datos!W18)/Datos!W18),(Datos!M18-Datos!W18)/Datos!W18," - ")</f>
        <v>6.6666666666666666E-2</v>
      </c>
      <c r="G18" s="474">
        <f>IF(ISNUMBER((Datos!N18-Datos!X18)/Datos!X18),(Datos!N18-Datos!X18)/Datos!X18," - ")</f>
        <v>0.59322033898305082</v>
      </c>
      <c r="H18" s="472">
        <f>IF(ISNUMBER(((NºAsuntos!G18/NºAsuntos!E18)-Datos!BD18)/Datos!BD18),((NºAsuntos!G18/NºAsuntos!E18)-Datos!BD18)/Datos!BD18," - ")</f>
        <v>6.8972972972972849E-2</v>
      </c>
      <c r="I18" s="473">
        <f>IF(ISNUMBER(((NºAsuntos!I18/NºAsuntos!G18)-Datos!BE18)/Datos!BE18),((NºAsuntos!I18/NºAsuntos!G18)-Datos!BE18)/Datos!BE18," - ")</f>
        <v>3.6610032362459591E-2</v>
      </c>
      <c r="J18" s="478">
        <f>IF(ISNUMBER((('Resol  Asuntos'!D18/NºAsuntos!G18)-Datos!BF18)/Datos!BF18),(('Resol  Asuntos'!D18/NºAsuntos!G18)-Datos!BF18)/Datos!BF18," - ")</f>
        <v>-0.3527508090614887</v>
      </c>
      <c r="K18" s="479">
        <f>IF(ISNUMBER((((NºAsuntos!C18+NºAsuntos!E18)/NºAsuntos!G18)-Datos!BG18)/Datos!BG18),(((NºAsuntos!C18+NºAsuntos!E18)/NºAsuntos!G18)-Datos!BG18)/Datos!BG18," - ")</f>
        <v>2.6885735623599732E-2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0.25427479380406359</v>
      </c>
      <c r="C20" s="1002">
        <f>IF(ISNUMBER(
   IF(Criterios!B14="SI",(Datos!J20-Datos!T20)/Datos!T20,(Datos!J20+Datos!AD20-(Datos!T20+Datos!AL20))/(Datos!T20+Datos!AL20))
     ),IF(Criterios!B14="SI",(Datos!J20-Datos!T20)/Datos!T20,(Datos!J20+Datos!AD20-(Datos!T20+Datos!AL20))/(Datos!T20+Datos!AL20))," - ")</f>
        <v>3.7119289340101523E-2</v>
      </c>
      <c r="D20" s="1002">
        <f>IF(ISNUMBER(
   IF(Criterios!B14="SI",(Datos!K20-Datos!U20)/Datos!U20,(Datos!K20+Datos!AE20-(Datos!U20+Datos!AM20))/(Datos!U20+Datos!AM20))
     ),IF(Criterios!B14="SI",(Datos!K20-Datos!U20)/Datos!U20,(Datos!K20+Datos!AE20-(Datos!U20+Datos!AM20))/(Datos!U20+Datos!AM20))," - ")</f>
        <v>0.10217391304347827</v>
      </c>
      <c r="E20" s="1002">
        <f>IF(ISNUMBER(
   IF(Criterios!B14="SI",(Datos!L20-Datos!V20)/Datos!V20,(Datos!L20+Datos!AF20-(Datos!V20+Datos!AN20))/(Datos!V20+Datos!AN20))
     ),IF(Criterios!B14="SI",(Datos!L20-Datos!V20)/Datos!V20,(Datos!L20+Datos!AF20-(Datos!V20+Datos!AN20))/(Datos!V20+Datos!AN20))," - ")</f>
        <v>0.23398215733982158</v>
      </c>
      <c r="F20" s="1003">
        <f>IF(ISNUMBER((Datos!M20-Datos!W20)/Datos!W20),(Datos!M20-Datos!W20)/Datos!W20," - ")</f>
        <v>0.14728682170542637</v>
      </c>
      <c r="G20" s="1004">
        <f>IF(ISNUMBER((Datos!N20-Datos!X20)/Datos!X20),(Datos!N20-Datos!X20)/Datos!X20," - ")</f>
        <v>0.13076505697232774</v>
      </c>
      <c r="H20" s="1004">
        <f>IF(ISNUMBER(((NºAsuntos!G20/NºAsuntos!E20)-Datos!BD20)/Datos!BD20),((NºAsuntos!G20/NºAsuntos!E20)-Datos!BD20)/Datos!BD20," - ")</f>
        <v>6.2726269168872167E-2</v>
      </c>
      <c r="I20" s="1004">
        <f>IF(ISNUMBER(((NºAsuntos!I20/NºAsuntos!G20)-Datos!BE20)/Datos!BE20),((NºAsuntos!I20/NºAsuntos!G20)-Datos!BE20)/Datos!BE20," - ")</f>
        <v>0.11958933407557769</v>
      </c>
      <c r="J20" s="1004">
        <f>IF(ISNUMBER((('Resol  Asuntos'!D20/NºAsuntos!G20)-Datos!BF20)/Datos!BF20),(('Resol  Asuntos'!D20/NºAsuntos!G20)-Datos!BF20)/Datos!BF20," - ")</f>
        <v>4.0930844150880018E-2</v>
      </c>
      <c r="K20" s="1004">
        <f>IF(ISNUMBER((((NºAsuntos!C20+NºAsuntos!E20)/NºAsuntos!G20)-Datos!BG20)/Datos!BG20),(((NºAsuntos!C20+NºAsuntos!E20)/NºAsuntos!G20)-Datos!BG20)/Datos!BG20," - ")</f>
        <v>6.1548514081208386E-2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0.23774119313152769</v>
      </c>
      <c r="C21" s="949">
        <f>IF(ISNUMBER(
   IF(J_V="SI",(Datos!J21-Datos!T21)/Datos!T21,(Datos!J21+Datos!Z21-(Datos!T21+Datos!AH21))/(Datos!T21+Datos!AH21))
     ),IF(J_V="SI",(Datos!J21-Datos!T21)/Datos!T21,(Datos!J21+Datos!Z21-(Datos!T21+Datos!AH21))/(Datos!T21+Datos!AH21))," - ")</f>
        <v>9.4001966568338244E-2</v>
      </c>
      <c r="D21" s="949">
        <f>IF(ISNUMBER(
   IF(J_V="SI",(Datos!K21-Datos!U21)/Datos!U21,(Datos!K21+Datos!AA21-(Datos!U21+Datos!AI21))/(Datos!U21+Datos!AI21))
     ),IF(J_V="SI",(Datos!K21-Datos!U21)/Datos!U21,(Datos!K21+Datos!AA21-(Datos!U21+Datos!AI21))/(Datos!U21+Datos!AI21))," - ")</f>
        <v>0.18794032324906756</v>
      </c>
      <c r="E21" s="949">
        <f>IF(ISNUMBER(
   IF(J_V="SI",(Datos!L21-Datos!V21)/Datos!V21,(Datos!L21+Datos!AB21-(Datos!V21+Datos!AJ21))/(Datos!V21+Datos!AJ21))
     ),IF(J_V="SI",(Datos!L21-Datos!V21)/Datos!V21,(Datos!L21+Datos!AB21-(Datos!V21+Datos!AJ21))/(Datos!V21+Datos!AJ21))," - ")</f>
        <v>0.19643163492880425</v>
      </c>
      <c r="F21" s="950">
        <f>IF(ISNUMBER((Datos!M21-Datos!W21)/Datos!W21),(Datos!M21-Datos!W21)/Datos!W21," - ")</f>
        <v>0.2233502538071066</v>
      </c>
      <c r="G21" s="951">
        <f>IF(ISNUMBER((Datos!N21-Datos!X21)/Datos!X21),(Datos!N21-Datos!X21)/Datos!X21," - ")</f>
        <v>0.28969594594594594</v>
      </c>
      <c r="H21" s="952">
        <f>IF(ISNUMBER((Tasas!B21-Datos!BD21)/Datos!BD21),(Tasas!B21-Datos!BD21)/Datos!BD21," - ")</f>
        <v>8.5866716469801901E-2</v>
      </c>
      <c r="I21" s="953">
        <f>IF(ISNUMBER((Tasas!C21-Datos!BE21)/Datos!BE21),(Tasas!C21-Datos!BE21)/Datos!BE21," - ")</f>
        <v>7.1479278155257338E-3</v>
      </c>
      <c r="J21" s="954">
        <f>IF(ISNUMBER((Tasas!D21-Datos!BF21)/Datos!BF21),(Tasas!D21-Datos!BF21)/Datos!BF21," - ")</f>
        <v>-0.11215692022194051</v>
      </c>
      <c r="K21" s="954">
        <f>IF(ISNUMBER((Tasas!E21-Datos!BG21)/Datos!BG21),(Tasas!E21-Datos!BG21)/Datos!BG21," - ")</f>
        <v>4.3661272897153151E-3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C0j+D+sEkHYwVQdiYfVIDNRUWMXI3q+fqYRzSSm6zy/sRl8MkwJofz2cKgcfuem6rEUk/nHO9y4KN3XGdxPSg==" saltValue="GrPddBp0axTj5kXdYdZh+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GIRONA</v>
      </c>
    </row>
    <row r="4" spans="1:7" ht="11.25" customHeight="1" thickBot="1">
      <c r="B4" s="403" t="str">
        <f>Criterios!A11 &amp;"  "&amp;Criterios!B11</f>
        <v>Resumenes por Partidos Judiciales  FIGUERES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1.34375</v>
      </c>
      <c r="C10" s="460">
        <f>IF(ISNUMBER(NºAsuntos!I10/NºAsuntos!G10),NºAsuntos!I10/NºAsuntos!G10," - ")</f>
        <v>1.6279069767441861</v>
      </c>
      <c r="D10" s="461">
        <f>IF(ISNUMBER('Resol  Asuntos'!D10/NºAsuntos!G10),'Resol  Asuntos'!D10/NºAsuntos!G10," - ")</f>
        <v>0.58139534883720934</v>
      </c>
      <c r="E10" s="462">
        <f>IF(ISNUMBER((NºAsuntos!C10+NºAsuntos!E10)/NºAsuntos!G10),(NºAsuntos!C10+NºAsuntos!E10)/NºAsuntos!G10," - ")</f>
        <v>2.6279069767441858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0.94650751547303269</v>
      </c>
      <c r="C12" s="460">
        <f>IF(ISNUMBER(NºAsuntos!I12/NºAsuntos!G12),NºAsuntos!I12/NºAsuntos!G12," - ")</f>
        <v>3.6394208313872021</v>
      </c>
      <c r="D12" s="461">
        <f>IF(ISNUMBER('Resol  Asuntos'!D12/NºAsuntos!G12),'Resol  Asuntos'!D12/NºAsuntos!G12," - ")</f>
        <v>0.23120037365716956</v>
      </c>
      <c r="E12" s="462">
        <f>IF(ISNUMBER((NºAsuntos!C12+NºAsuntos!E12)/NºAsuntos!G12),(NºAsuntos!C12+NºAsuntos!E12)/NºAsuntos!G12," - ")</f>
        <v>4.638019617001401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0.9520488230165649</v>
      </c>
      <c r="C14" s="1006">
        <f>IF(ISNUMBER(NºAsuntos!I14/NºAsuntos!G14),NºAsuntos!I14/NºAsuntos!G14," - ")</f>
        <v>3.5998168498168499</v>
      </c>
      <c r="D14" s="1007">
        <f>IF(ISNUMBER('Resol  Asuntos'!D14/NºAsuntos!G14),'Resol  Asuntos'!D14/NºAsuntos!G14," - ")</f>
        <v>0.23809523809523808</v>
      </c>
      <c r="E14" s="1008">
        <f>IF(ISNUMBER((NºAsuntos!C14+NºAsuntos!E14)/NºAsuntos!G14),(NºAsuntos!C14+NºAsuntos!E14)/NºAsuntos!G14," - ")</f>
        <v>4.5984432234432235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1.0839818417639429</v>
      </c>
      <c r="C17" s="460">
        <f>IF(ISNUMBER(NºAsuntos!I17/NºAsuntos!G17),NºAsuntos!I17/NºAsuntos!G17," - ")</f>
        <v>1.6978761591384983</v>
      </c>
      <c r="D17" s="461">
        <f>IF(ISNUMBER('Resol  Asuntos'!D17/NºAsuntos!G17),'Resol  Asuntos'!D17/NºAsuntos!G17," - ")</f>
        <v>0.12802871672150762</v>
      </c>
      <c r="E17" s="462">
        <f>IF(ISNUMBER((NºAsuntos!C17+NºAsuntos!E17)/NºAsuntos!G17),(NºAsuntos!C17+NºAsuntos!E17)/NºAsuntos!G17," - ")</f>
        <v>2.6586897995812144</v>
      </c>
      <c r="G17" s="480"/>
    </row>
    <row r="18" spans="1:7">
      <c r="A18" s="414" t="str">
        <f>Datos!A18</f>
        <v>Jdos. Violencia contra la mujer</v>
      </c>
      <c r="B18" s="459">
        <f>IF(ISNUMBER(NºAsuntos!G18/NºAsuntos!E18),NºAsuntos!G18/NºAsuntos!E18," - ")</f>
        <v>1.1135135135135135</v>
      </c>
      <c r="C18" s="460">
        <f>IF(ISNUMBER(NºAsuntos!I18/NºAsuntos!G18),NºAsuntos!I18/NºAsuntos!G18," - ")</f>
        <v>1.9902912621359223</v>
      </c>
      <c r="D18" s="461">
        <f>IF(ISNUMBER('Resol  Asuntos'!D18/NºAsuntos!G18),'Resol  Asuntos'!D18/NºAsuntos!G18," - ")</f>
        <v>7.7669902912621352E-2</v>
      </c>
      <c r="E18" s="462">
        <f>IF(ISNUMBER((NºAsuntos!C18+NºAsuntos!E18)/NºAsuntos!G18),(NºAsuntos!C18+NºAsuntos!E18)/NºAsuntos!G18," - ")</f>
        <v>2.9902912621359223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1.0856531049250535</v>
      </c>
      <c r="C20" s="1006">
        <f>IF(ISNUMBER(NºAsuntos!I20/NºAsuntos!G20),NºAsuntos!I20/NºAsuntos!G20," - ")</f>
        <v>1.7148492533107917</v>
      </c>
      <c r="D20" s="1009">
        <f>IF(ISNUMBER('Resol  Asuntos'!D20/NºAsuntos!G20),'Resol  Asuntos'!D20/NºAsuntos!G20," - ")</f>
        <v>0.12510566356720204</v>
      </c>
      <c r="E20" s="1008">
        <f>IF(ISNUMBER((NºAsuntos!C20+NºAsuntos!E20)/NºAsuntos!G20),(NºAsuntos!C20+NºAsuntos!E20)/NºAsuntos!G20," - ")</f>
        <v>2.6779374471682162</v>
      </c>
      <c r="G20" s="480"/>
    </row>
    <row r="21" spans="1:7" ht="15.75" customHeight="1" thickTop="1" thickBot="1">
      <c r="A21" s="940" t="str">
        <f>Datos!A21</f>
        <v>TOTAL JURISDICCIONES</v>
      </c>
      <c r="B21" s="955">
        <f>IF(ISNUMBER(NºAsuntos!G21/NºAsuntos!E21),NºAsuntos!G21/NºAsuntos!E21," - ")</f>
        <v>1.0305590508718316</v>
      </c>
      <c r="C21" s="956">
        <f>IF(ISNUMBER(NºAsuntos!I21/NºAsuntos!G21),NºAsuntos!I21/NºAsuntos!G21," - ")</f>
        <v>2.4329321472178616</v>
      </c>
      <c r="D21" s="957">
        <f>IF(ISNUMBER('Resol  Asuntos'!D21/NºAsuntos!G21),'Resol  Asuntos'!D21/NºAsuntos!G21," - ")</f>
        <v>0.16814931100645386</v>
      </c>
      <c r="E21" s="958">
        <f>IF(ISNUMBER((NºAsuntos!C21+NºAsuntos!E21)/NºAsuntos!G21),(NºAsuntos!C21+NºAsuntos!E21)/NºAsuntos!G21," - ")</f>
        <v>3.4095586952729811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fRctZKNQWwZUkRVCyzJsPJYsFCIhP9/trptuwGH3MmrHXBsN+9s/vXLbP7kTI4xuJpWo5d5LjtYGZm+wOUtg==" saltValue="53rwZDkoMyGD8ckdGeAm9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GIRONA</v>
      </c>
      <c r="N2" s="339" t="str">
        <f>Criterios!A11 &amp;"  "&amp;Criterios!B11</f>
        <v>Resumenes por Partidos Judiciales  FIGUERES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81</v>
      </c>
      <c r="G10" s="343">
        <f>IF(ISNUMBER(Datos!I10),Datos!I10," - ")</f>
        <v>81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43</v>
      </c>
      <c r="X10" s="231">
        <f>IF(ISNUMBER(Datos!Q10),Datos!Q10," - ")</f>
        <v>1</v>
      </c>
      <c r="Y10" s="344">
        <f t="shared" ref="Y10:Y13" si="0">SUM(W10:X10)</f>
        <v>44</v>
      </c>
      <c r="Z10" s="345" t="str">
        <f>IF(ISNUMBER(Datos!CC10),Datos!CC10," - ")</f>
        <v xml:space="preserve"> - </v>
      </c>
      <c r="AA10" s="342">
        <f>IF(ISNUMBER(Datos!L10),Datos!L10,"-")</f>
        <v>70</v>
      </c>
      <c r="AB10" s="344">
        <f>IF(ISNUMBER(Datos!R10),Datos!R10," - ")</f>
        <v>40</v>
      </c>
      <c r="AC10" s="344">
        <f t="shared" ref="AC10:AC13" si="1">IF(ISNUMBER(AA10+AB10),AA10+AB10," - ")</f>
        <v>110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25</v>
      </c>
      <c r="AJ10" s="236" t="str">
        <f>IF(ISNUMBER(Datos!BW10),Datos!BW10," - ")</f>
        <v xml:space="preserve"> - </v>
      </c>
      <c r="AK10" s="237" t="str">
        <f>IF(ISNUMBER(Datos!BX10),Datos!BX10," - ")</f>
        <v xml:space="preserve"> - </v>
      </c>
      <c r="AL10" s="248">
        <f>IF(ISNUMBER(NºAsuntos!G10/NºAsuntos!E10),NºAsuntos!G10/NºAsuntos!E10," - ")</f>
        <v>1.34375</v>
      </c>
      <c r="AM10" s="265">
        <f>IF(ISNUMBER(((NºAsuntos!I10/NºAsuntos!G10)*11)/factor_trimestre),((NºAsuntos!I10/NºAsuntos!G10)*11)/factor_trimestre," - ")</f>
        <v>4.8837209302325579</v>
      </c>
      <c r="AN10" s="249">
        <f>IF(ISNUMBER('Resol  Asuntos'!D10/NºAsuntos!G10),'Resol  Asuntos'!D10/NºAsuntos!G10," - ")</f>
        <v>0.58139534883720934</v>
      </c>
      <c r="AO10" s="250">
        <f>IF(ISNUMBER((NºAsuntos!C10+NºAsuntos!E10)/NºAsuntos!G10),(NºAsuntos!C10+NºAsuntos!E10)/NºAsuntos!G10," - ")</f>
        <v>2.6279069767441858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405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586</v>
      </c>
      <c r="Y12" s="344">
        <f t="shared" si="0"/>
        <v>586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8946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495</v>
      </c>
      <c r="AJ12" s="234" t="str">
        <f>IF(ISNUMBER(Datos!BW12),Datos!BW12," - ")</f>
        <v xml:space="preserve"> - </v>
      </c>
      <c r="AK12" s="233" t="str">
        <f>IF(ISNUMBER(Datos!BX12),Datos!BX12," - ")</f>
        <v xml:space="preserve"> - </v>
      </c>
      <c r="AL12" s="248">
        <f>IF(ISNUMBER(NºAsuntos!G12/NºAsuntos!E12),NºAsuntos!G12/NºAsuntos!E12," - ")</f>
        <v>0.94650751547303269</v>
      </c>
      <c r="AM12" s="265">
        <f>IF(ISNUMBER(((NºAsuntos!I12/NºAsuntos!G12)*11)/factor_trimestre),((NºAsuntos!I12/NºAsuntos!G12)*11)/factor_trimestre," - ")</f>
        <v>10.918262494161608</v>
      </c>
      <c r="AN12" s="249">
        <f>IF(ISNUMBER('Resol  Asuntos'!D12/NºAsuntos!G12),'Resol  Asuntos'!D12/NºAsuntos!G12," - ")</f>
        <v>0.23120037365716956</v>
      </c>
      <c r="AO12" s="250">
        <f>IF(ISNUMBER((NºAsuntos!C12+NºAsuntos!E12)/NºAsuntos!G12),(NºAsuntos!C12+NºAsuntos!E12)/NºAsuntos!G12," - ")</f>
        <v>4.638019617001401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81</v>
      </c>
      <c r="G14" s="1013">
        <f t="shared" si="5"/>
        <v>81</v>
      </c>
      <c r="H14" s="1012">
        <f t="shared" si="5"/>
        <v>0</v>
      </c>
      <c r="I14" s="1014">
        <f t="shared" si="5"/>
        <v>0</v>
      </c>
      <c r="J14" s="1014">
        <f t="shared" si="5"/>
        <v>0</v>
      </c>
      <c r="K14" s="1014">
        <f t="shared" si="5"/>
        <v>0</v>
      </c>
      <c r="L14" s="1014">
        <f t="shared" si="5"/>
        <v>405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43</v>
      </c>
      <c r="X14" s="1014">
        <f t="shared" si="6"/>
        <v>587</v>
      </c>
      <c r="Y14" s="1015">
        <f t="shared" si="6"/>
        <v>630</v>
      </c>
      <c r="Z14" s="1015">
        <f t="shared" si="6"/>
        <v>0</v>
      </c>
      <c r="AA14" s="1015">
        <f t="shared" si="6"/>
        <v>70</v>
      </c>
      <c r="AB14" s="1015">
        <f t="shared" si="6"/>
        <v>8986</v>
      </c>
      <c r="AC14" s="1015">
        <f t="shared" si="6"/>
        <v>110</v>
      </c>
      <c r="AD14" s="1015">
        <f t="shared" si="6"/>
        <v>0</v>
      </c>
      <c r="AE14" s="1019">
        <f t="shared" si="6"/>
        <v>0</v>
      </c>
      <c r="AF14" s="1012">
        <f t="shared" si="6"/>
        <v>0</v>
      </c>
      <c r="AG14" s="1020">
        <f t="shared" si="6"/>
        <v>0</v>
      </c>
      <c r="AH14" s="1017">
        <f t="shared" si="6"/>
        <v>0</v>
      </c>
      <c r="AI14" s="1012">
        <f t="shared" si="6"/>
        <v>520</v>
      </c>
      <c r="AJ14" s="1014">
        <f t="shared" si="6"/>
        <v>0</v>
      </c>
      <c r="AK14" s="1017">
        <f>SUBTOTAL(9,AK9:AK13)</f>
        <v>0</v>
      </c>
      <c r="AL14" s="1021">
        <f>IF(ISNUMBER(NºAsuntos!G14/NºAsuntos!E14),NºAsuntos!G14/NºAsuntos!E14," - ")</f>
        <v>0.9520488230165649</v>
      </c>
      <c r="AM14" s="1021">
        <f>IF(ISNUMBER(((NºAsuntos!I14/NºAsuntos!G14)*11)/factor_trimestre),((NºAsuntos!I14/NºAsuntos!G14)*11)/factor_trimestre," - ")</f>
        <v>10.799450549450551</v>
      </c>
      <c r="AN14" s="1022">
        <f>IF(ISNUMBER('Resol  Asuntos'!D14/NºAsuntos!G14),'Resol  Asuntos'!D14/NºAsuntos!G14," - ")</f>
        <v>0.23809523809523808</v>
      </c>
      <c r="AO14" s="1023">
        <f>IF(ISNUMBER((NºAsuntos!C14+NºAsuntos!E14)/NºAsuntos!G14),(NºAsuntos!C14+NºAsuntos!E14)/NºAsuntos!G14," - ")</f>
        <v>4.5984432234432235</v>
      </c>
      <c r="AP14" s="1024" t="str">
        <f t="shared" si="2"/>
        <v xml:space="preserve"> - </v>
      </c>
      <c r="AQ14" s="1024">
        <f>IF(ISNUMBER((H14-W14+K14)/(F14)),(H14-W14+K14)/(F14)," - ")</f>
        <v>-0.53086419753086422</v>
      </c>
      <c r="AR14" s="1025">
        <f>IF(ISNUMBER((Datos!P14-Datos!Q14)/(Datos!R14-Datos!P14+Datos!Q14)),(Datos!P14-Datos!Q14)/(Datos!R14-Datos!P14+Datos!Q14)," - ")</f>
        <v>-1.9851657940663178E-2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5935</v>
      </c>
      <c r="G17" s="343">
        <f>IF(ISNUMBER(IF(D_I="SI",Datos!I17,Datos!I17+Datos!AC17)),IF(D_I="SI",Datos!I17,Datos!I17+Datos!AC17)," - ")</f>
        <v>5804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3343</v>
      </c>
      <c r="X17" s="231">
        <f>IF(ISNUMBER(Datos!Q17),Datos!Q17," - ")</f>
        <v>58</v>
      </c>
      <c r="Y17" s="344">
        <f t="shared" ref="Y17:Y19" si="9">SUM(W17:X17)</f>
        <v>3401</v>
      </c>
      <c r="Z17" s="345" t="str">
        <f>IF(ISNUMBER(Datos!CC17),Datos!CC17," - ")</f>
        <v xml:space="preserve"> - </v>
      </c>
      <c r="AA17" s="342">
        <f>IF(ISNUMBER(IF(D_I="SI",Datos!L17,Datos!L17+Datos!AF17)),IF(D_I="SI",Datos!L17,Datos!L17+Datos!AF17)," - ")</f>
        <v>5676</v>
      </c>
      <c r="AB17" s="344">
        <f>IF(ISNUMBER(Datos!R17),Datos!R17," - ")</f>
        <v>394</v>
      </c>
      <c r="AC17" s="344">
        <f t="shared" si="8"/>
        <v>6070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428</v>
      </c>
      <c r="AJ17" s="236" t="str">
        <f>IF(ISNUMBER(Datos!BW17),Datos!BW17," - ")</f>
        <v xml:space="preserve"> - </v>
      </c>
      <c r="AK17" s="237" t="str">
        <f>IF(ISNUMBER(Datos!BX17),Datos!BX17," - ")</f>
        <v xml:space="preserve"> - </v>
      </c>
      <c r="AL17" s="248">
        <f>IF(ISNUMBER(NºAsuntos!G17/NºAsuntos!E17),NºAsuntos!G17/NºAsuntos!E17," - ")</f>
        <v>1.0839818417639429</v>
      </c>
      <c r="AM17" s="265">
        <f>IF(ISNUMBER(((NºAsuntos!I17/NºAsuntos!G17)*11)/factor_trimestre),((NºAsuntos!I17/NºAsuntos!G17)*11)/factor_trimestre," - ")</f>
        <v>5.0936284774154954</v>
      </c>
      <c r="AN17" s="249">
        <f>IF(ISNUMBER('Resol  Asuntos'!D17/NºAsuntos!G17),'Resol  Asuntos'!D17/NºAsuntos!G17," - ")</f>
        <v>0.12802871672150762</v>
      </c>
      <c r="AO17" s="250">
        <f>IF(ISNUMBER((NºAsuntos!C17+NºAsuntos!E17)/NºAsuntos!G17),(NºAsuntos!C17+NºAsuntos!E17)/NºAsuntos!G17," - ")</f>
        <v>2.6586897995812144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431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206</v>
      </c>
      <c r="X18" s="231">
        <f>IF(ISNUMBER(Datos!Q18),Datos!Q18," - ")</f>
        <v>1</v>
      </c>
      <c r="Y18" s="344">
        <f t="shared" si="9"/>
        <v>207</v>
      </c>
      <c r="Z18" s="345" t="str">
        <f>IF(ISNUMBER(Datos!CC18),Datos!CC18," - ")</f>
        <v xml:space="preserve"> - </v>
      </c>
      <c r="AA18" s="342">
        <f>IF(ISNUMBER(Datos!L18),Datos!L18,"-")</f>
        <v>410</v>
      </c>
      <c r="AB18" s="344">
        <f>IF(ISNUMBER(Datos!R18),Datos!R18," - ")</f>
        <v>2</v>
      </c>
      <c r="AC18" s="344">
        <f t="shared" si="8"/>
        <v>412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16</v>
      </c>
      <c r="AJ18" s="236" t="str">
        <f>IF(ISNUMBER(Datos!BW18),Datos!BW18," - ")</f>
        <v xml:space="preserve"> - </v>
      </c>
      <c r="AK18" s="237" t="str">
        <f>IF(ISNUMBER(Datos!BX18),Datos!BX18," - ")</f>
        <v xml:space="preserve"> - </v>
      </c>
      <c r="AL18" s="248">
        <f>IF(ISNUMBER(NºAsuntos!G18/NºAsuntos!E18),NºAsuntos!G18/NºAsuntos!E18," - ")</f>
        <v>1.1135135135135135</v>
      </c>
      <c r="AM18" s="265">
        <f>IF(ISNUMBER(((NºAsuntos!I18/NºAsuntos!G18)*11)/factor_trimestre),((NºAsuntos!I18/NºAsuntos!G18)*11)/factor_trimestre," - ")</f>
        <v>5.9708737864077674</v>
      </c>
      <c r="AN18" s="249">
        <f>IF(ISNUMBER('Resol  Asuntos'!D18/NºAsuntos!G18),'Resol  Asuntos'!D18/NºAsuntos!G18," - ")</f>
        <v>7.7669902912621352E-2</v>
      </c>
      <c r="AO18" s="250">
        <f>IF(ISNUMBER((NºAsuntos!C18+NºAsuntos!E18)/NºAsuntos!G18),(NºAsuntos!C18+NºAsuntos!E18)/NºAsuntos!G18," - ")</f>
        <v>2.9902912621359223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5935</v>
      </c>
      <c r="G20" s="1013">
        <f>SUBTOTAL(9,G16:G19)</f>
        <v>6235</v>
      </c>
      <c r="H20" s="1012">
        <f t="shared" ref="H20:O20" si="12">SUBTOTAL(9,H15:H19)</f>
        <v>0</v>
      </c>
      <c r="I20" s="1014">
        <f t="shared" si="12"/>
        <v>0</v>
      </c>
      <c r="J20" s="1014">
        <f t="shared" si="12"/>
        <v>0</v>
      </c>
      <c r="K20" s="1014">
        <f t="shared" si="12"/>
        <v>0</v>
      </c>
      <c r="L20" s="1014">
        <f t="shared" si="12"/>
        <v>81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3549</v>
      </c>
      <c r="X20" s="1014">
        <f t="shared" si="13"/>
        <v>59</v>
      </c>
      <c r="Y20" s="1015">
        <f t="shared" si="13"/>
        <v>3608</v>
      </c>
      <c r="Z20" s="1015">
        <f t="shared" si="13"/>
        <v>0</v>
      </c>
      <c r="AA20" s="1015">
        <f t="shared" si="13"/>
        <v>6086</v>
      </c>
      <c r="AB20" s="1015">
        <f t="shared" si="13"/>
        <v>396</v>
      </c>
      <c r="AC20" s="1015">
        <f t="shared" si="13"/>
        <v>6482</v>
      </c>
      <c r="AD20" s="1015">
        <f t="shared" si="13"/>
        <v>0</v>
      </c>
      <c r="AE20" s="1019">
        <f t="shared" si="13"/>
        <v>0</v>
      </c>
      <c r="AF20" s="1012">
        <f t="shared" si="13"/>
        <v>0</v>
      </c>
      <c r="AG20" s="1020">
        <f t="shared" si="13"/>
        <v>0</v>
      </c>
      <c r="AH20" s="1017">
        <f t="shared" si="13"/>
        <v>0</v>
      </c>
      <c r="AI20" s="1012">
        <f t="shared" si="13"/>
        <v>444</v>
      </c>
      <c r="AJ20" s="1014">
        <f t="shared" si="13"/>
        <v>0</v>
      </c>
      <c r="AK20" s="1017">
        <f t="shared" si="13"/>
        <v>0</v>
      </c>
      <c r="AL20" s="1021">
        <f>IF(ISNUMBER(NºAsuntos!G20/NºAsuntos!E20),NºAsuntos!G20/NºAsuntos!E20," - ")</f>
        <v>1.0856531049250535</v>
      </c>
      <c r="AM20" s="1021">
        <f>IF(ISNUMBER(((NºAsuntos!I20/NºAsuntos!G20)*11)/factor_trimestre),((NºAsuntos!I20/NºAsuntos!G20)*11)/factor_trimestre," - ")</f>
        <v>5.144547759932375</v>
      </c>
      <c r="AN20" s="1022">
        <f>IF(ISNUMBER('Resol  Asuntos'!D20/NºAsuntos!G20),'Resol  Asuntos'!D20/NºAsuntos!G20," - ")</f>
        <v>0.12510566356720204</v>
      </c>
      <c r="AO20" s="1023">
        <f>IF(ISNUMBER((NºAsuntos!C20+NºAsuntos!E20)/NºAsuntos!G20),(NºAsuntos!C20+NºAsuntos!E20)/NºAsuntos!G20," - ")</f>
        <v>2.6779374471682162</v>
      </c>
      <c r="AP20" s="1024" t="str">
        <f t="shared" si="2"/>
        <v xml:space="preserve"> - </v>
      </c>
      <c r="AQ20" s="1024">
        <f>IF(ISNUMBER((H20-W20+K20)/(F20)),(H20-W20+K20)/(F20)," - ")</f>
        <v>-0.59797809604043806</v>
      </c>
      <c r="AR20" s="1025">
        <f>IF(ISNUMBER((Datos!P20-Datos!Q20)/(Datos!R20-Datos!P20+Datos!Q20)),(Datos!P20-Datos!Q20)/(Datos!R20-Datos!P20+Datos!Q20)," - ")</f>
        <v>5.8823529411764705E-2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6016</v>
      </c>
      <c r="G21" s="968">
        <f t="shared" si="15"/>
        <v>6316</v>
      </c>
      <c r="H21" s="967">
        <f t="shared" si="15"/>
        <v>0</v>
      </c>
      <c r="I21" s="969">
        <f t="shared" si="15"/>
        <v>0</v>
      </c>
      <c r="J21" s="969">
        <f t="shared" si="15"/>
        <v>0</v>
      </c>
      <c r="K21" s="1028">
        <f t="shared" si="15"/>
        <v>0</v>
      </c>
      <c r="L21" s="969">
        <f t="shared" si="15"/>
        <v>486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3592</v>
      </c>
      <c r="X21" s="968">
        <f t="shared" si="16"/>
        <v>646</v>
      </c>
      <c r="Y21" s="975">
        <f t="shared" si="16"/>
        <v>4238</v>
      </c>
      <c r="Z21" s="975">
        <f t="shared" si="16"/>
        <v>0</v>
      </c>
      <c r="AA21" s="975">
        <f t="shared" si="16"/>
        <v>6156</v>
      </c>
      <c r="AB21" s="975">
        <f t="shared" si="16"/>
        <v>9382</v>
      </c>
      <c r="AC21" s="975">
        <f t="shared" si="16"/>
        <v>6592</v>
      </c>
      <c r="AD21" s="975">
        <f t="shared" si="16"/>
        <v>0</v>
      </c>
      <c r="AE21" s="977">
        <f t="shared" si="16"/>
        <v>0</v>
      </c>
      <c r="AF21" s="978">
        <f t="shared" si="16"/>
        <v>0</v>
      </c>
      <c r="AG21" s="979">
        <f t="shared" si="16"/>
        <v>0</v>
      </c>
      <c r="AH21" s="977">
        <f t="shared" si="16"/>
        <v>0</v>
      </c>
      <c r="AI21" s="967">
        <f t="shared" si="16"/>
        <v>964</v>
      </c>
      <c r="AJ21" s="967">
        <f t="shared" si="16"/>
        <v>0</v>
      </c>
      <c r="AK21" s="977">
        <f t="shared" si="16"/>
        <v>0</v>
      </c>
      <c r="AL21" s="1031">
        <f>IF(ISNUMBER(NºAsuntos!G21/NºAsuntos!E21),NºAsuntos!G21/NºAsuntos!E21," - ")</f>
        <v>1.0305590508718316</v>
      </c>
      <c r="AM21" s="1032">
        <f>IF(ISNUMBER(((NºAsuntos!I21/NºAsuntos!G21)*11)/factor_trimestre),((NºAsuntos!I21/NºAsuntos!G21)*11)/factor_trimestre," - ")</f>
        <v>7.2987964416535851</v>
      </c>
      <c r="AN21" s="1032">
        <f>IF(ISNUMBER('Resol  Asuntos'!D21/NºAsuntos!G21),'Resol  Asuntos'!D21/NºAsuntos!G21," - ")</f>
        <v>0.16814931100645386</v>
      </c>
      <c r="AO21" s="1033">
        <f>IF(ISNUMBER((NºAsuntos!C21+NºAsuntos!E21)/NºAsuntos!G21),(NºAsuntos!C21+NºAsuntos!E21)/NºAsuntos!G21," - ")</f>
        <v>3.4095586952729811</v>
      </c>
      <c r="AP21" s="1034" t="str">
        <f t="shared" si="2"/>
        <v xml:space="preserve"> - </v>
      </c>
      <c r="AQ21" s="1035">
        <f>IF(OR(ISNUMBER(FIND("01",Criterios!A8,1)),ISNUMBER(FIND("02",Criterios!A8,1)),ISNUMBER(FIND("03",Criterios!A8,1)),ISNUMBER(FIND("04",Criterios!A8,1))),(I21-W21+K21)/(F21-K21),(H21-W21+K21)/(F21-K21))</f>
        <v>-0.59707446808510634</v>
      </c>
      <c r="AR21" s="1036">
        <f>IF(ISNUMBER((Datos!P21-Datos!Q21)/(Datos!R21-Datos!P21+Datos!Q21)),(Datos!P21-Datos!Q21)/(Datos!R21-Datos!P21+Datos!Q21)," - ")</f>
        <v>-1.6767973171242925E-2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2526.4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4.036199832876104</v>
      </c>
      <c r="F23" s="257">
        <f>IF(ISNUMBER(STDEV(F8:F20)),STDEV(F8:F20),"-")</f>
        <v>3379.8084758360692</v>
      </c>
      <c r="G23" s="258">
        <f>IF(ISNUMBER(STDEV(G8:G20)),STDEV(G8:G20),"-")</f>
        <v>3195.5844222927362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1836.7915505032138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235.4125456866449</v>
      </c>
      <c r="AJ23" s="257">
        <f t="shared" si="20"/>
        <v>0</v>
      </c>
      <c r="AK23" s="259">
        <f t="shared" si="20"/>
        <v>0</v>
      </c>
      <c r="AL23" s="254">
        <f t="shared" si="20"/>
        <v>0.14462532379203499</v>
      </c>
      <c r="AM23" s="255">
        <f t="shared" si="20"/>
        <v>2.9083953649533592</v>
      </c>
      <c r="AN23" s="255">
        <f t="shared" si="20"/>
        <v>0.18338523127192305</v>
      </c>
      <c r="AO23" s="256">
        <f t="shared" si="20"/>
        <v>0.97944909699087379</v>
      </c>
      <c r="AP23" s="296" t="str">
        <f t="shared" si="20"/>
        <v>-</v>
      </c>
      <c r="AQ23" s="297">
        <f t="shared" si="20"/>
        <v>4.7456692747985384E-2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cUT5BkI+lfYqRTgBF2QIEF3GZ0TrZwKfHB2lZxqOZScEjFqD5DxSfiOvkajDySUYQ5omenWJ1D4ZDuoxiv8dw==" saltValue="C5ggjrmhQBiKxs6/9gX4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GIRONA</v>
      </c>
      <c r="E3" s="268"/>
    </row>
    <row r="4" spans="2:20" ht="17.25" customHeight="1" thickBot="1">
      <c r="D4" s="267" t="str">
        <f>Criterios!A11 &amp;"  "&amp;Criterios!B11</f>
        <v>Resumenes por Partidos Judiciales  FIGUERES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-0.19801980198019803</v>
      </c>
      <c r="E10" s="358">
        <f>IF(ISNUMBER((Datos!J10-Datos!T10)/Datos!T10),(Datos!J10-Datos!T10)/Datos!T10," - ")</f>
        <v>0.52380952380952384</v>
      </c>
      <c r="F10" s="358">
        <f>IF(ISNUMBER((Datos!K10-Datos!U10)/Datos!U10),(Datos!K10-Datos!U10)/Datos!U10," - ")</f>
        <v>4.878048780487805E-2</v>
      </c>
      <c r="G10" s="359">
        <f>IF(ISNUMBER((Datos!L10-Datos!V10)/Datos!V10),(Datos!L10-Datos!V10)/Datos!V10," - ")</f>
        <v>-0.13580246913580246</v>
      </c>
      <c r="H10" s="235">
        <f>IF(ISNUMBER((Datos!M10-Datos!W10)/Datos!W10),(Datos!M10-Datos!W10)/Datos!W10," - ")</f>
        <v>1.5</v>
      </c>
      <c r="I10" s="360">
        <f>IF(ISNUMBER((Tasas!C10-Datos!BE10)/Datos!BE10),(Tasas!C10-Datos!BE10)/Datos!BE10," - ")</f>
        <v>-0.17599770312948607</v>
      </c>
      <c r="J10" s="359">
        <f>IF(ISNUMBER((Tasas!D10-Datos!BF10)/Datos!BF10),(Tasas!D10-Datos!BF10)/Datos!BF10," - ")</f>
        <v>1.3837209302325584</v>
      </c>
      <c r="K10" s="361">
        <f>IF(ISNUMBER((Tasas!E10-Datos!BG10)/Datos!BG10),(Tasas!E10-Datos!BG10)/Datos!BG10," - ")</f>
        <v>-0.11685093404498673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0.26598465473145783</v>
      </c>
      <c r="I12" s="360">
        <f>IF(ISNUMBER((Tasas!C12-Datos!BE12)/Datos!BE12),(Tasas!C12-Datos!BE12)/Datos!BE12," - ")</f>
        <v>-0.14286025566275837</v>
      </c>
      <c r="J12" s="359">
        <f>IF(ISNUMBER((Tasas!D12-Datos!BF12)/Datos!BF12),(Tasas!D12-Datos!BF12)/Datos!BF12," - ")</f>
        <v>-0.30013813390044419</v>
      </c>
      <c r="K12" s="361">
        <f>IF(ISNUMBER((Tasas!E12-Datos!BG12)/Datos!BG12),(Tasas!E12-Datos!BG12)/Datos!BG12," - ")</f>
        <v>-0.10807315057665369</v>
      </c>
      <c r="M12" t="e">
        <f>IF(Monitorios="SI",Datos!CE12,0)</f>
        <v>#REF!</v>
      </c>
      <c r="N12" t="e">
        <f>IF(Monitorios="SI",Datos!CF12,0)</f>
        <v>#REF!</v>
      </c>
      <c r="O12" t="e">
        <f>IF(Monitorios="SI",Datos!CG12,0)</f>
        <v>#REF!</v>
      </c>
      <c r="P12" t="e">
        <f>IF(Monitorios="SI",Datos!CH12,0)</f>
        <v>#REF!</v>
      </c>
      <c r="Q12">
        <f>IF(J_V="SI",0,Datos!AG12)</f>
        <v>171</v>
      </c>
      <c r="R12">
        <f>IF(J_V="SI",0,Datos!AH12)</f>
        <v>70</v>
      </c>
      <c r="S12">
        <f>IF(J_V="SI",0,Datos!AI12)</f>
        <v>79</v>
      </c>
      <c r="T12">
        <f>IF(J_V="SI",0,Datos!AJ12)</f>
        <v>168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0.29675810473815462</v>
      </c>
      <c r="I14" s="367">
        <f>IF(ISNUMBER((Tasas!C14-Datos!BE14)/Datos!BE14),(Tasas!C14-Datos!BE14)/Datos!BE14," - ")</f>
        <v>-0.14045407957093956</v>
      </c>
      <c r="J14" s="365">
        <f>IF(ISNUMBER((Tasas!D14-Datos!BF14)/Datos!BF14),(Tasas!D14-Datos!BF14)/Datos!BF14," - ")</f>
        <v>-0.27441944519743383</v>
      </c>
      <c r="K14" s="368">
        <f>IF(ISNUMBER((Tasas!E14-Datos!BG14)/Datos!BG14),(Tasas!E14-Datos!BG14)/Datos!BG14," - ")</f>
        <v>-0.1059201190254459</v>
      </c>
      <c r="M14" t="e">
        <f>IF(Monitorios="SI",Datos!CE14,0)</f>
        <v>#REF!</v>
      </c>
      <c r="N14" t="e">
        <f>IF(Monitorios="SI",Datos!CF14,0)</f>
        <v>#REF!</v>
      </c>
      <c r="O14" t="e">
        <f>IF(Monitorios="SI",Datos!CG14,0)</f>
        <v>#REF!</v>
      </c>
      <c r="P14" t="e">
        <f>IF(Monitorios="SI",Datos!CH14,0)</f>
        <v>#REF!</v>
      </c>
      <c r="Q14">
        <f>IF(J_V="SI",0,Datos!AG14)</f>
        <v>171</v>
      </c>
      <c r="R14">
        <f>IF(J_V="SI",0,Datos!AH14)</f>
        <v>70</v>
      </c>
      <c r="S14">
        <f>IF(J_V="SI",0,Datos!AI14)</f>
        <v>79</v>
      </c>
      <c r="T14">
        <f>IF(J_V="SI",0,Datos!AJ14)</f>
        <v>168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0.22784006769621323</v>
      </c>
      <c r="E17" s="358">
        <f>IF(ISNUMBER(
   IF(D_I="SI",(Datos!J17-Datos!T17)/Datos!T17,(Datos!J17+Datos!AD17-(Datos!T17+Datos!AL17))/(Datos!T17+Datos!AL17))
     ),IF(D_I="SI",(Datos!J17-Datos!T17)/Datos!T17,(Datos!J17+Datos!AD17-(Datos!T17+Datos!AL17))/(Datos!T17+Datos!AL17))," - ")</f>
        <v>1.7150395778364115E-2</v>
      </c>
      <c r="F17" s="358">
        <f>IF(ISNUMBER(
   IF(D_I="SI",(Datos!K17-Datos!U17)/Datos!U17,(Datos!K17+Datos!AE17-(Datos!U17+Datos!AM17))/(Datos!U17+Datos!AM17))
     ),IF(D_I="SI",(Datos!K17-Datos!U17)/Datos!U17,(Datos!K17+Datos!AE17-(Datos!U17+Datos!AM17))/(Datos!U17+Datos!AM17))," - ")</f>
        <v>8.0129240710823904E-2</v>
      </c>
      <c r="G17" s="359">
        <f>IF(ISNUMBER(
   IF(D_I="SI",(Datos!L17-Datos!V17)/Datos!V17,(Datos!L17+Datos!AF17-(Datos!V17+Datos!AN17))/(Datos!V17+Datos!AN17))
     ),IF(D_I="SI",(Datos!L17-Datos!V17)/Datos!V17,(Datos!L17+Datos!AF17-(Datos!V17+Datos!AN17))/(Datos!V17+Datos!AN17))," - ")</f>
        <v>0.20971867007672634</v>
      </c>
      <c r="H17" s="235">
        <f>IF(ISNUMBER((Datos!M17-Datos!W17)/Datos!W17),(Datos!M17-Datos!W17)/Datos!W17," - ")</f>
        <v>0.15053763440860216</v>
      </c>
      <c r="I17" s="360">
        <f>IF(ISNUMBER((Tasas!C17-Datos!BE17)/Datos!BE17),(Tasas!C17-Datos!BE17)/Datos!BE17," - ")</f>
        <v>0.11997585518620033</v>
      </c>
      <c r="J17" s="359">
        <f>IF(ISNUMBER((Tasas!D17-Datos!BF17)/Datos!BF17),(Tasas!D17-Datos!BF17)/Datos!BF17," - ")</f>
        <v>6.518515659426366E-2</v>
      </c>
      <c r="K17" s="361">
        <f>IF(ISNUMBER((Tasas!E17-Datos!BG17)/Datos!BG17),(Tasas!E17-Datos!BG17)/Datos!BG17," - ")</f>
        <v>6.0529053963636947E-2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0.76639344262295084</v>
      </c>
      <c r="E18" s="358">
        <f>IF(ISNUMBER(
   IF(D_I="SI",(Datos!J18-Datos!T18)/Datos!T18,(Datos!J18+Datos!AD18-(Datos!T18+Datos!AL18))/(Datos!T18+Datos!AL18))
     ),IF(D_I="SI",(Datos!J18-Datos!T18)/Datos!T18,(Datos!J18+Datos!AD18-(Datos!T18+Datos!AL18))/(Datos!T18+Datos!AL18))," - ")</f>
        <v>0.54166666666666663</v>
      </c>
      <c r="F18" s="358">
        <f>IF(ISNUMBER(
   IF(D_I="SI",(Datos!K18-Datos!U18)/Datos!U18,(Datos!K18+Datos!AE18-(Datos!U18+Datos!AM18))/(Datos!U18+Datos!AM18))
     ),IF(D_I="SI",(Datos!K18-Datos!U18)/Datos!U18,(Datos!K18+Datos!AE18-(Datos!U18+Datos!AM18))/(Datos!U18+Datos!AM18))," - ")</f>
        <v>0.64800000000000002</v>
      </c>
      <c r="G18" s="359">
        <f>IF(ISNUMBER(
   IF(D_I="SI",(Datos!L18-Datos!V18)/Datos!V18,(Datos!L18+Datos!AF18-(Datos!V18+Datos!AN18))/(Datos!V18+Datos!AN18))
     ),IF(D_I="SI",(Datos!L18-Datos!V18)/Datos!V18,(Datos!L18+Datos!AF18-(Datos!V18+Datos!AN18))/(Datos!V18+Datos!AN18))," - ")</f>
        <v>0.70833333333333337</v>
      </c>
      <c r="H18" s="235">
        <f>IF(ISNUMBER((Datos!M18-Datos!W18)/Datos!W18),(Datos!M18-Datos!W18)/Datos!W18," - ")</f>
        <v>6.6666666666666666E-2</v>
      </c>
      <c r="I18" s="360">
        <f>IF(ISNUMBER((Tasas!C18-Datos!BE18)/Datos!BE18),(Tasas!C18-Datos!BE18)/Datos!BE18," - ")</f>
        <v>3.6610032362459591E-2</v>
      </c>
      <c r="J18" s="359">
        <f>IF(ISNUMBER((Tasas!D18-Datos!BF18)/Datos!BF18),(Tasas!D18-Datos!BF18)/Datos!BF18," - ")</f>
        <v>-0.3527508090614887</v>
      </c>
      <c r="K18" s="361">
        <f>IF(ISNUMBER((Tasas!E18-Datos!BG18)/Datos!BG18),(Tasas!E18-Datos!BG18)/Datos!BG18," - ")</f>
        <v>2.6885735623599732E-2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0.25427479380406359</v>
      </c>
      <c r="E20" s="364">
        <f>IF(ISNUMBER(
   IF(D_I="SI",(Datos!J20-Datos!T20)/Datos!T20,(Datos!J20+Datos!AD20-(Datos!T20+Datos!AL20))/(Datos!T20+Datos!AL20))
     ),IF(D_I="SI",(Datos!J20-Datos!T20)/Datos!T20,(Datos!J20+Datos!AD20-(Datos!T20+Datos!AL20))/(Datos!T20+Datos!AL20))," - ")</f>
        <v>3.7119289340101523E-2</v>
      </c>
      <c r="F20" s="364">
        <f>IF(ISNUMBER(
   IF(D_I="SI",(Datos!K20-Datos!U20)/Datos!U20,(Datos!K20+Datos!AE20-(Datos!U20+Datos!AM20))/(Datos!U20+Datos!AM20))
     ),IF(D_I="SI",(Datos!K20-Datos!U20)/Datos!U20,(Datos!K20+Datos!AE20-(Datos!U20+Datos!AM20))/(Datos!U20+Datos!AM20))," - ")</f>
        <v>0.10217391304347827</v>
      </c>
      <c r="G20" s="365">
        <f>IF(ISNUMBER(
   IF(D_I="SI",(Datos!L20-Datos!V20)/Datos!V20,(Datos!L20+Datos!AF20-(Datos!V20+Datos!AN20))/(Datos!V20+Datos!AN20))
     ),IF(D_I="SI",(Datos!L20-Datos!V20)/Datos!V20,(Datos!L20+Datos!AF20-(Datos!V20+Datos!AN20))/(Datos!V20+Datos!AN20))," - ")</f>
        <v>0.23398215733982158</v>
      </c>
      <c r="H20" s="366">
        <f>IF(ISNUMBER((Datos!M20-Datos!W20)/Datos!W20),(Datos!M20-Datos!W20)/Datos!W20," - ")</f>
        <v>0.14728682170542637</v>
      </c>
      <c r="I20" s="367">
        <f>IF(ISNUMBER((Tasas!C20-Datos!BE20)/Datos!BE20),(Tasas!C20-Datos!BE20)/Datos!BE20," - ")</f>
        <v>0.11958933407557769</v>
      </c>
      <c r="J20" s="365">
        <f>IF(ISNUMBER((Tasas!D20-Datos!BF20)/Datos!BF20),(Tasas!D20-Datos!BF20)/Datos!BF20," - ")</f>
        <v>4.0930844150880018E-2</v>
      </c>
      <c r="K20" s="368">
        <f>IF(ISNUMBER((Tasas!E20-Datos!BG20)/Datos!BG20),(Tasas!E20-Datos!BG20)/Datos!BG20," - ")</f>
        <v>6.1548514081208386E-2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0.23774119313152769</v>
      </c>
      <c r="E21" s="373">
        <f>IF(ISNUMBER(
   IF(J_V="SI",(Datos!J21-Datos!T21)/Datos!T21,(Datos!J21+Datos!Z21-(Datos!T21+Datos!AH21))/(Datos!T21+Datos!AH21))
     ),IF(J_V="SI",(Datos!J21-Datos!T21)/Datos!T21,(Datos!J21+Datos!Z21-(Datos!T21+Datos!AH21))/(Datos!T21+Datos!AH21))," - ")</f>
        <v>9.4001966568338244E-2</v>
      </c>
      <c r="F21" s="373">
        <f>IF(ISNUMBER(
   IF(J_V="SI",(Datos!K21-Datos!U21)/Datos!U21,(Datos!K21+Datos!AA21-(Datos!U21+Datos!AI21))/(Datos!U21+Datos!AI21))
     ),IF(J_V="SI",(Datos!K21-Datos!U21)/Datos!U21,(Datos!K21+Datos!AA21-(Datos!U21+Datos!AI21))/(Datos!U21+Datos!AI21))," - ")</f>
        <v>0.18794032324906756</v>
      </c>
      <c r="G21" s="374">
        <f>IF(ISNUMBER(
   IF(J_V="SI",(Datos!L21-Datos!V21)/Datos!V21,(Datos!L21+Datos!AB21-(Datos!V21+Datos!AJ21))/(Datos!V21+Datos!AJ21))
     ),IF(J_V="SI",(Datos!L21-Datos!V21)/Datos!V21,(Datos!L21+Datos!AB21-(Datos!V21+Datos!AJ21))/(Datos!V21+Datos!AJ21))," - ")</f>
        <v>0.19643163492880425</v>
      </c>
      <c r="H21" s="375">
        <f>IF(ISNUMBER((Datos!M21-Datos!W21)/Datos!W21),(Datos!M21-Datos!W21)/Datos!W21," - ")</f>
        <v>0.2233502538071066</v>
      </c>
      <c r="I21" s="372">
        <f>IF(ISNUMBER((Tasas!C21-Datos!BE21)/Datos!BE21),(Tasas!C21-Datos!BE21)/Datos!BE21," - ")</f>
        <v>7.1479278155257338E-3</v>
      </c>
      <c r="J21" s="373">
        <f>IF(ISNUMBER((Tasas!D21-Datos!BF21)/Datos!BF21),(Tasas!D21-Datos!BF21)/Datos!BF21," - ")</f>
        <v>-0.11215692022194051</v>
      </c>
      <c r="K21" s="374">
        <f>IF(ISNUMBER((Tasas!E21-Datos!BG21)/Datos!BG21),(Tasas!E21-Datos!BG21)/Datos!BG21," - ")</f>
        <v>4.3661272897153151E-3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0.39465427688884558</v>
      </c>
      <c r="E23" s="283">
        <f t="shared" si="1"/>
        <v>0.29211496951827931</v>
      </c>
      <c r="F23" s="283">
        <f t="shared" si="1"/>
        <v>0.28632541364663733</v>
      </c>
      <c r="G23" s="284">
        <f t="shared" si="1"/>
        <v>0.34675941684230027</v>
      </c>
      <c r="H23" s="290">
        <f t="shared" si="1"/>
        <v>0.54326824333637347</v>
      </c>
      <c r="I23" s="282">
        <f t="shared" si="1"/>
        <v>0.13824460409289377</v>
      </c>
      <c r="J23" s="283">
        <f t="shared" si="1"/>
        <v>0.6569155789155563</v>
      </c>
      <c r="K23" s="284">
        <f t="shared" si="1"/>
        <v>8.8560039958174644E-2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LpE5KV5OAXmckbx5GFAUmcqkUI9IspL2MRyaW6aJ54fCvG5e4/Ygrp1HlG4GLM5oCrOPlJ/taKrVd0xWVWj6w==" saltValue="axRT6shkEO9SZ5bPqaKG9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